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1072" windowHeight="10008" activeTab="3"/>
  </bookViews>
  <sheets>
    <sheet name="BCA Summ Mtrx" sheetId="1" r:id="rId1"/>
    <sheet name="Benefit Cost Summary" sheetId="2" r:id="rId2"/>
    <sheet name="PV of Trucking Time Benefit" sheetId="3" r:id="rId3"/>
    <sheet name="PV of Increased Barge Time Cost" sheetId="4" r:id="rId4"/>
    <sheet name="PV of Trucking Fuel Benefit" sheetId="5" r:id="rId5"/>
    <sheet name="PV of Increased Barge Fuel Cost" sheetId="6" r:id="rId6"/>
    <sheet name="PV of Trckng Crbn Reduc Ems Bnf" sheetId="7" r:id="rId7"/>
    <sheet name="PV of Incr Brg Crbn Em Cst" sheetId="8" r:id="rId8"/>
    <sheet name="PV of Trucking Rdcd Coll Benefi" sheetId="9" r:id="rId9"/>
    <sheet name="PV of Incr Barge Collision Cost" sheetId="10" r:id="rId10"/>
    <sheet name="PV of O&amp;M Costs" sheetId="11" r:id="rId11"/>
    <sheet name="PV of RCV" sheetId="12" r:id="rId12"/>
  </sheets>
  <definedNames>
    <definedName name="_xlnm.Print_Area" localSheetId="9">'PV of Incr Barge Collision Cost'!$A$1:$Q$42</definedName>
    <definedName name="_xlnm.Print_Area" localSheetId="7">'PV of Incr Brg Crbn Em Cst'!$A$1:$W$46</definedName>
    <definedName name="_xlnm.Print_Area" localSheetId="5">'PV of Increased Barge Fuel Cost'!$A$1:$S$47</definedName>
    <definedName name="_xlnm.Print_Area" localSheetId="10">'PV of O&amp;M Costs'!$A$1:$J$42</definedName>
    <definedName name="_xlnm.Print_Area" localSheetId="11">'PV of RCV'!$A$1:$K$45</definedName>
    <definedName name="_xlnm.Print_Area" localSheetId="6">'PV of Trckng Crbn Reduc Ems Bnf'!$A$1:$R$45</definedName>
    <definedName name="_xlnm.Print_Area" localSheetId="4">'PV of Trucking Fuel Benefit'!$A$1:$N$41</definedName>
    <definedName name="_xlnm.Print_Area" localSheetId="8">'PV of Trucking Rdcd Coll Benefi'!$A$1:$N$39</definedName>
    <definedName name="_xlnm.Print_Area" localSheetId="2">'PV of Trucking Time Benefit'!$A$1:$P$43</definedName>
  </definedNames>
  <calcPr fullCalcOnLoad="1"/>
</workbook>
</file>

<file path=xl/sharedStrings.xml><?xml version="1.0" encoding="utf-8"?>
<sst xmlns="http://schemas.openxmlformats.org/spreadsheetml/2006/main" count="269" uniqueCount="173">
  <si>
    <t>Morgan City Harbor and Terminal District</t>
  </si>
  <si>
    <t>Present Value of Remaining Capital Value</t>
  </si>
  <si>
    <t>Project Life</t>
  </si>
  <si>
    <t>Calendar Year</t>
  </si>
  <si>
    <t>Remaining Capital Value in 20 Years</t>
  </si>
  <si>
    <t>NPV of Remaining Capital Value 7.0%</t>
  </si>
  <si>
    <t>NPV of Remaining Capital Value 3.0%</t>
  </si>
  <si>
    <t>ASSUMPTIONS:</t>
  </si>
  <si>
    <t>-We did not adjust the dollar amounts for inflation over time</t>
  </si>
  <si>
    <t>-We used a 7.0% and a 3.0% Discount Rate</t>
  </si>
  <si>
    <t>-There may be immaterial Mathematical Inconsistencies due to rounding of fractional amounts</t>
  </si>
  <si>
    <t>Present Value of Maintenance and Operations Cost</t>
  </si>
  <si>
    <t>Year</t>
  </si>
  <si>
    <t>Annual Maintenance Cost</t>
  </si>
  <si>
    <t>-We Did not Adjust the Dollar Amounts for Inflation over time</t>
  </si>
  <si>
    <t>-We Used a 7.0% and a 3.0% Discount Rate</t>
  </si>
  <si>
    <t>-There may be Immaterial Mathematical Inconsistencies due to rounding of fractional amounts</t>
  </si>
  <si>
    <r>
      <t>NPV of Annual Maintenance Cost  3.0% (F/(1.03)</t>
    </r>
    <r>
      <rPr>
        <sz val="9"/>
        <color indexed="8"/>
        <rFont val="Calibri"/>
        <family val="2"/>
      </rPr>
      <t>ˆ</t>
    </r>
  </si>
  <si>
    <r>
      <t>NPV of Annual Maintenance Cost 7.0% (F/(1.07)</t>
    </r>
    <r>
      <rPr>
        <sz val="9"/>
        <color indexed="8"/>
        <rFont val="Calibri"/>
        <family val="2"/>
      </rPr>
      <t>ˆ</t>
    </r>
  </si>
  <si>
    <t>Present Value of Increased Barge Collision Cost</t>
  </si>
  <si>
    <t>Number of TEU (Loads) Per year</t>
  </si>
  <si>
    <t>Annual Number of Barge Trips Per Year</t>
  </si>
  <si>
    <t>Annual Number of Barge Miles Per Year</t>
  </si>
  <si>
    <t>Increased Accidents @ .028 for Every Billion Miles Collisions</t>
  </si>
  <si>
    <t>Annual Cost of Barge Collision Incurred at an $91,112 Avg Cost</t>
  </si>
  <si>
    <t>ASSUMPTIONS</t>
  </si>
  <si>
    <t>-The Value of the Increased Barge Collision Cost was set at $91,121 , the same as the Truck Collision Cost as a result of Non-Availability of Barge Collision Cost Statistics</t>
  </si>
  <si>
    <t>-The Increased Cost of Barge Collision is .028 for Each Billion Ton Miles</t>
  </si>
  <si>
    <t>-As referred to above, the Value of the Costs of Truck Crashes was $91,112</t>
  </si>
  <si>
    <t>-There may be immaterial mathematical inconsistencies due to rounding of fractional amounts</t>
  </si>
  <si>
    <t>Present Value of Trucking Reduced Collision Benefit</t>
  </si>
  <si>
    <t>Annual Truck Miles Saved</t>
  </si>
  <si>
    <t>Reduced Accidents @ .63 per million miles traveled</t>
  </si>
  <si>
    <t>Annual cost of truck collision savings $91,112 Avg. Cost</t>
  </si>
  <si>
    <t xml:space="preserve">NPV of Collision Savings 7.0% </t>
  </si>
  <si>
    <t>NPV of Collision Savings 3.0%</t>
  </si>
  <si>
    <t>-The Value of Collsion Reduction Based Upon 2001-2003 Average Costs of Truck Crashes</t>
  </si>
  <si>
    <t>Source:  Ted Miller, Eduard Zaloshnja, Rebecca Sicer, Revised Cost of Large Truck and Bus Involved Crashes (2006), Adjusted to 2005 Dollars; US DOT Federal Motor Carrier Safety Administration Commercial Motor Vehicle Facts, Nov. 2007</t>
  </si>
  <si>
    <t>-There may be some immaterial mathematical inconsistencies due to rounding of fractional amounts.</t>
  </si>
  <si>
    <t>Benefit Cost Summary</t>
  </si>
  <si>
    <t>Present Value of Trucking Reduced Collision Benefits</t>
  </si>
  <si>
    <t>NPV of 7.0%</t>
  </si>
  <si>
    <t>NPV of 3%</t>
  </si>
  <si>
    <t>Net Present Value of All Benefits</t>
  </si>
  <si>
    <t>Present Value of Construction Costs</t>
  </si>
  <si>
    <t>Less Present Value of Remaining Capital Value</t>
  </si>
  <si>
    <t>Net Present Value of All Costs</t>
  </si>
  <si>
    <t>Net Present Value</t>
  </si>
  <si>
    <t>Present Value of Trucking Time Benefit</t>
  </si>
  <si>
    <t>Annual Number of Trips Saved</t>
  </si>
  <si>
    <t>NPV of Travel Time Savings 3.0%</t>
  </si>
  <si>
    <t xml:space="preserve">NPV of Travel Time Savings 7.0% </t>
  </si>
  <si>
    <t>-We did not adust for load/unload time as the barges will have load/unload time as well</t>
  </si>
  <si>
    <t>-8 Barges/month X 3,500 tons/barge = 28,000 tons/month</t>
  </si>
  <si>
    <t xml:space="preserve">-(28,000 tons/month) / (25 tons/truck) = 1,120 trucks off of road/month </t>
  </si>
  <si>
    <t>-(1,120 trucks off of road/month) X (12 months/year) = 13,440 trucks off road/year</t>
  </si>
  <si>
    <t>- 1 barge = 3,500 tons; 1 truck = 25 tons</t>
  </si>
  <si>
    <t>Present Value of Increased Barge Time Cost</t>
  </si>
  <si>
    <t>Annual Number of Hours for the Barge Trips</t>
  </si>
  <si>
    <t>Annual Payroll Dollars Incurred for Travel Time at $51.21 Per Hour</t>
  </si>
  <si>
    <t>-8 barge trips per month X 12 months/year =96 barge trips/year (Years 1-4)</t>
  </si>
  <si>
    <t>-The average barge trip has one deck hand and one captain and takes 56 hours</t>
  </si>
  <si>
    <t>(Deck Hand $17.32/hour + Captain $33.89/hour = $51.21/hour average)</t>
  </si>
  <si>
    <t>-Tug Captains</t>
  </si>
  <si>
    <t xml:space="preserve">Salary Range </t>
  </si>
  <si>
    <t>$33.89/hour</t>
  </si>
  <si>
    <t>The U.S. Bureau of Labor Statistics includes tugboat captains in its category of captains, mates and pilots</t>
  </si>
  <si>
    <t>htttp://www.ehow.com/info_77433256_average-salary-deckhand.html</t>
  </si>
  <si>
    <t>Present Value of Trucking Fuel Benefit</t>
  </si>
  <si>
    <t>Gallons of Fuel Saved (Avg. 6 MPG)</t>
  </si>
  <si>
    <t>Annual Fuel Savings (Cost  $4.01/Gal)</t>
  </si>
  <si>
    <t>-6 Miles Per Gallon is the Average MPG of the Trucks</t>
  </si>
  <si>
    <t>-We used $4.01 Per Gallon for Fuel</t>
  </si>
  <si>
    <t>Present Value of Increased Barge Fuel Cost</t>
  </si>
  <si>
    <t>Annual Number in Tons of Barge Freight</t>
  </si>
  <si>
    <t>Annual Gallons of Barge Fuel Used</t>
  </si>
  <si>
    <t>Annual Cost of Barge Fuel Used</t>
  </si>
  <si>
    <t>-The Average Tons per TEU is 25</t>
  </si>
  <si>
    <t>-The Average Fuel Consumption for the Barge is 576 Miles Per Ton Per Gallon</t>
  </si>
  <si>
    <t>-We used  $4.01 Per Gallon for Fuel</t>
  </si>
  <si>
    <t>-The Average Number of Truck Loads (TEU) Per Barge is 80</t>
  </si>
  <si>
    <t xml:space="preserve">NPV of Fuel Savings 7.0% </t>
  </si>
  <si>
    <t>NPV of Fuel Savings 3.0%</t>
  </si>
  <si>
    <t>-96 barges/year X 80 TEUs/barge = 7,680 TEUs/year</t>
  </si>
  <si>
    <t>-7,680 TEUs/year X 25 avg tons/TEU = 192,000 avg tons/year</t>
  </si>
  <si>
    <t>-A Barge Uses 1 Gallon of Fuel to Move 1 Ton of Cargo 576 Miles</t>
  </si>
  <si>
    <t>Present Value of Trucking Carbon Reduction Emissions Benefit</t>
  </si>
  <si>
    <t>Annual Gallons of Fuel Saved (Avg. 6 MPG)</t>
  </si>
  <si>
    <t>Annual Metric Tons of CO2 Saved</t>
  </si>
  <si>
    <t>CO2 Emissions Price Per Metric Ton</t>
  </si>
  <si>
    <t>Annual Dollars Saved Due to Reduced CO2 Emissions Per Metric Ton</t>
  </si>
  <si>
    <t xml:space="preserve">NPV of CO2 Emissions Savings 7.0% </t>
  </si>
  <si>
    <t>NPV of CO2 Emissions Savings 3.0%</t>
  </si>
  <si>
    <t xml:space="preserve">-CO2 Emissions from a Gallon of Diesel = 2,778 Grams X 0.99 X (44/12) = 10,084 Grams = 10.1 kg/Gallon = 22.2 </t>
  </si>
  <si>
    <t>Pounds/Gallon/2205 Pounds Per Ton:  EPA - Office of Transportation; Average Carbon Dioxide</t>
  </si>
  <si>
    <t>Emissions Resulting from Gasoline and Diesel Fuel, 2005</t>
  </si>
  <si>
    <t>page2; http://www.epa.gov/otaq/climate/420f05001.pdf</t>
  </si>
  <si>
    <t>-6 Miles Per Gallon is the average MPG of the Trucks</t>
  </si>
  <si>
    <t>-We used Cost Per Metric Ton for the Cost of Carbon as Shown in the Social Cost</t>
  </si>
  <si>
    <t>of Carbon for Regulatory Impact Analysis Under Executive Order 12866</t>
  </si>
  <si>
    <t>(February 2010)</t>
  </si>
  <si>
    <t>Present Value of Increased Barge Carbon Emission Cost</t>
  </si>
  <si>
    <t>Annual Metric Tons of CO2 Generated</t>
  </si>
  <si>
    <t>Annual Dollars Due to Increased CO2 Emissions Per Metric Ton</t>
  </si>
  <si>
    <t>-CO2 Emissions from a gallon of diesel = 2,778 grams X 0.99 X (44/12) = 10,084 grams = 10.1 kg/Gallon = 22.2</t>
  </si>
  <si>
    <t>Pounds/Gallon/2205 Pounds Per Ton; EPA - Office of Transportation: Average Carbon Dioxide</t>
  </si>
  <si>
    <t>Emissions Resulting from Gasoline and Diesel fuel, 2005.</t>
  </si>
  <si>
    <t>page 2; http://www.epa.gov/otaq/climate/420f05001.pdf</t>
  </si>
  <si>
    <t>-There may be immaterial mathematical inconsistencies due to rounding of fractional amounts.</t>
  </si>
  <si>
    <t>-The Payroll Cost Per Hour came from the Revised Departmental Guidance on Valuation of Travel Time in Economic Analysis; Table 3 (Revision)</t>
  </si>
  <si>
    <t>Annual Payroll Dollars Saved for TravelTime at $23.70 per hour</t>
  </si>
  <si>
    <t>may supervise workes.  Their average salary as of May 2010 was $33.89/hour, or $70,500/year</t>
  </si>
  <si>
    <t>of water vessels.  These professionals command the operations of ships and otheer water vessels and</t>
  </si>
  <si>
    <r>
      <t>NPV of Fuel Used 7.0% (F/(1.07)</t>
    </r>
    <r>
      <rPr>
        <sz val="9"/>
        <color indexed="8"/>
        <rFont val="Calibri"/>
        <family val="2"/>
      </rPr>
      <t>ˆ</t>
    </r>
  </si>
  <si>
    <r>
      <t>NPV of Fuel Used  3.0% (F/(1.03)</t>
    </r>
    <r>
      <rPr>
        <sz val="9"/>
        <color indexed="8"/>
        <rFont val="Calibri"/>
        <family val="2"/>
      </rPr>
      <t>ˆ</t>
    </r>
  </si>
  <si>
    <t>Net Present Value of Time Benefit</t>
  </si>
  <si>
    <t>Net Present Value of Fuel Benefits</t>
  </si>
  <si>
    <t>Present Value of Trucking Carbon Reduction Emmissions Benefit</t>
  </si>
  <si>
    <t>Net Present Value of Carbon Reduction Emission Benefit</t>
  </si>
  <si>
    <t>Net Present Value of Reduced Collision Benefit</t>
  </si>
  <si>
    <t>Present Value of Maintenance and Operation Costs</t>
  </si>
  <si>
    <t>Benefit / Cost Ratio = 5/9</t>
  </si>
  <si>
    <t xml:space="preserve">Net Present Value = 5 - 9 </t>
  </si>
  <si>
    <t>-8 barges travel to MN each month X 12 months = 96 barges/year.  Increase in barges occur after completion of project.</t>
  </si>
  <si>
    <t>-One barge = 80 trucks</t>
  </si>
  <si>
    <t xml:space="preserve">NPV of Annual Maintenance Cost 7.0% </t>
  </si>
  <si>
    <t>NPV of Annual Maintenance Cost  3.0%</t>
  </si>
  <si>
    <t>-Years 1-4 is calculated at 30 trips annually</t>
  </si>
  <si>
    <t>-Years 5-20 is calculated at additional trips due to construction completed</t>
  </si>
  <si>
    <t>-56 hours /barge trip</t>
  </si>
  <si>
    <t>-The Remaining Capital Value of the Project in 20 years has been set at $9,000,000</t>
  </si>
  <si>
    <t>Non-Discounted Value</t>
  </si>
  <si>
    <t>Net Present Value 7.0%</t>
  </si>
  <si>
    <t>Net Present Value 3.0%</t>
  </si>
  <si>
    <t>Selecetion Criteria</t>
  </si>
  <si>
    <t>Description</t>
  </si>
  <si>
    <t>Inputs</t>
  </si>
  <si>
    <t>State of Good Repair</t>
  </si>
  <si>
    <t>Consistent with regional plans</t>
  </si>
  <si>
    <t>Increased Mobility</t>
  </si>
  <si>
    <t>Time Travel Savings</t>
  </si>
  <si>
    <t>Economic Competiveness</t>
  </si>
  <si>
    <t>Fuel Cost Savings</t>
  </si>
  <si>
    <t>Environmental Sustainability</t>
  </si>
  <si>
    <t>Reduced Pollution</t>
  </si>
  <si>
    <t>CO2 Cost Savings</t>
  </si>
  <si>
    <t>Safety</t>
  </si>
  <si>
    <t>Reduced Collisions</t>
  </si>
  <si>
    <t>Collision Cost Savings</t>
  </si>
  <si>
    <t>Total Costs 7.0% NPV</t>
  </si>
  <si>
    <t>Total Costs 3.0% NPV</t>
  </si>
  <si>
    <t>Total Benefits</t>
  </si>
  <si>
    <t>Benefit to Cost Ratio 3.0% NPV</t>
  </si>
  <si>
    <t>Benefit to Cost Ratio 7.0% NPV</t>
  </si>
  <si>
    <t>Maintenance, Preservation and Upgrade</t>
  </si>
  <si>
    <t>(Construction Costs $15,000,000 + NPV Annual Maintenance $549,130  - Remaining  Capital Value $2,325,771)</t>
  </si>
  <si>
    <t>(Construction Costs $15,000,000 + NPV Annual Maintenance $798,533  - Remaining  Capital Value $4,983,082)</t>
  </si>
  <si>
    <t>Quality of Life</t>
  </si>
  <si>
    <t>-A one-way trip from Morgan City, LA to Minneapolis, MN is 1200 miles (barge/truck)</t>
  </si>
  <si>
    <t>-The Trip Miles for the Barge is 1200 (This is the same as the Trucks)</t>
  </si>
  <si>
    <t>-The 1200 mile trip with a 55 MPH Average Takes 21.82 Hours Per Trip</t>
  </si>
  <si>
    <t>Annual Number of Hours Saved at 21.82 hours per trip</t>
  </si>
  <si>
    <t>-1,200 miles per trip</t>
  </si>
  <si>
    <t>(1 Ton/ 576 mies x 2000 Tons / Barge Load X 1200 Miles Per Round Trip = 4,166.67 Gallons of Fuel Per Barge Trip)</t>
  </si>
  <si>
    <t>(1 Ton/ 576 mies x 2000 Tons / Barge Load X 1200 Miles Per Round Trip = 4166.67 Gallons of Fuel Per Barge Trip)</t>
  </si>
  <si>
    <t>-It's a 1200 mile trip by barge to MN one way.  Barges do not return to Morgan City.</t>
  </si>
  <si>
    <t>-The Annual Maintenance Cost Per Year will provide funds for maintaining, replacing light systems, electrical boxes/wiring, pipes/valves, and fendering systems.</t>
  </si>
  <si>
    <t>(11.71 to 1.00)</t>
  </si>
  <si>
    <t>-It takes 1200 miles for one one-way trip  for barge/truck</t>
  </si>
  <si>
    <t>-96 barge trips/year X 1200 miles/trip = 115,200 miles/year</t>
  </si>
  <si>
    <t>(21.25 to 1.00)</t>
  </si>
  <si>
    <t>Wharf Extension and Enhancement  2017 TIGER Discretionary Grant Application</t>
  </si>
  <si>
    <t>Wharf Extension and Enhancement 2017 TIGER Discretionary Grant Application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</si>
</sst>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&quot;$&quot;#,##0.00;[Red]&quot;$&quot;#,##0.00"/>
    <numFmt numFmtId="167" formatCode="#,##0;[Red]#,##0"/>
    <numFmt numFmtId="168" formatCode="0.000000"/>
    <numFmt numFmtId="169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10" fontId="46" fillId="0" borderId="0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10" fontId="46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6" fontId="0" fillId="0" borderId="0" xfId="0" applyNumberFormat="1" applyAlignment="1">
      <alignment/>
    </xf>
    <xf numFmtId="165" fontId="4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46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5" fontId="46" fillId="0" borderId="0" xfId="0" applyNumberFormat="1" applyFont="1" applyBorder="1" applyAlignment="1">
      <alignment horizontal="center" wrapText="1"/>
    </xf>
    <xf numFmtId="165" fontId="46" fillId="0" borderId="10" xfId="0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7" fontId="46" fillId="0" borderId="0" xfId="0" applyNumberFormat="1" applyFont="1" applyAlignment="1">
      <alignment/>
    </xf>
    <xf numFmtId="167" fontId="46" fillId="0" borderId="0" xfId="0" applyNumberFormat="1" applyFont="1" applyBorder="1" applyAlignment="1">
      <alignment/>
    </xf>
    <xf numFmtId="167" fontId="4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 horizontal="center" wrapText="1"/>
    </xf>
    <xf numFmtId="166" fontId="46" fillId="0" borderId="0" xfId="0" applyNumberFormat="1" applyFont="1" applyBorder="1" applyAlignment="1">
      <alignment horizontal="center" wrapText="1"/>
    </xf>
    <xf numFmtId="166" fontId="46" fillId="0" borderId="10" xfId="0" applyNumberFormat="1" applyFont="1" applyBorder="1" applyAlignment="1">
      <alignment horizontal="center" wrapText="1"/>
    </xf>
    <xf numFmtId="166" fontId="46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46" fillId="0" borderId="0" xfId="0" applyNumberFormat="1" applyFont="1" applyAlignment="1">
      <alignment/>
    </xf>
    <xf numFmtId="169" fontId="46" fillId="0" borderId="0" xfId="0" applyNumberFormat="1" applyFont="1" applyBorder="1" applyAlignment="1">
      <alignment horizontal="center" wrapText="1"/>
    </xf>
    <xf numFmtId="0" fontId="43" fillId="0" borderId="11" xfId="0" applyFont="1" applyBorder="1" applyAlignment="1">
      <alignment/>
    </xf>
    <xf numFmtId="167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46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 horizontal="center" wrapText="1"/>
    </xf>
    <xf numFmtId="164" fontId="46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11" xfId="0" applyFont="1" applyBorder="1" applyAlignment="1">
      <alignment horizontal="center"/>
    </xf>
    <xf numFmtId="6" fontId="46" fillId="0" borderId="0" xfId="0" applyNumberFormat="1" applyFont="1" applyAlignment="1">
      <alignment/>
    </xf>
    <xf numFmtId="6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165" fontId="46" fillId="0" borderId="0" xfId="0" applyNumberFormat="1" applyFont="1" applyBorder="1" applyAlignment="1">
      <alignment horizontal="right"/>
    </xf>
    <xf numFmtId="6" fontId="46" fillId="0" borderId="11" xfId="0" applyNumberFormat="1" applyFont="1" applyBorder="1" applyAlignment="1">
      <alignment horizontal="right"/>
    </xf>
    <xf numFmtId="6" fontId="46" fillId="0" borderId="12" xfId="0" applyNumberFormat="1" applyFont="1" applyBorder="1" applyAlignment="1">
      <alignment horizontal="right"/>
    </xf>
    <xf numFmtId="6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164" fontId="46" fillId="0" borderId="0" xfId="0" applyNumberFormat="1" applyFont="1" applyBorder="1" applyAlignment="1">
      <alignment wrapText="1"/>
    </xf>
    <xf numFmtId="164" fontId="4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46" fillId="0" borderId="0" xfId="0" applyNumberFormat="1" applyFont="1" applyAlignment="1">
      <alignment/>
    </xf>
    <xf numFmtId="169" fontId="46" fillId="0" borderId="0" xfId="0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6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46" fillId="0" borderId="0" xfId="0" applyNumberFormat="1" applyFont="1" applyAlignment="1">
      <alignment horizontal="center"/>
    </xf>
    <xf numFmtId="164" fontId="46" fillId="0" borderId="11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164" fontId="46" fillId="0" borderId="12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Alignment="1" quotePrefix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167" fontId="46" fillId="0" borderId="0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165" fontId="46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65" fontId="46" fillId="0" borderId="11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64" fontId="46" fillId="0" borderId="12" xfId="0" applyNumberFormat="1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167" fontId="46" fillId="0" borderId="11" xfId="0" applyNumberFormat="1" applyFont="1" applyBorder="1" applyAlignment="1">
      <alignment/>
    </xf>
    <xf numFmtId="0" fontId="49" fillId="0" borderId="11" xfId="0" applyFont="1" applyBorder="1" applyAlignment="1">
      <alignment/>
    </xf>
    <xf numFmtId="167" fontId="46" fillId="0" borderId="0" xfId="0" applyNumberFormat="1" applyFont="1" applyAlignment="1">
      <alignment horizontal="center"/>
    </xf>
    <xf numFmtId="166" fontId="46" fillId="0" borderId="0" xfId="0" applyNumberFormat="1" applyFont="1" applyAlignment="1">
      <alignment horizontal="center"/>
    </xf>
    <xf numFmtId="167" fontId="46" fillId="0" borderId="11" xfId="0" applyNumberFormat="1" applyFont="1" applyBorder="1" applyAlignment="1">
      <alignment horizontal="center"/>
    </xf>
    <xf numFmtId="166" fontId="46" fillId="0" borderId="11" xfId="0" applyNumberFormat="1" applyFont="1" applyBorder="1" applyAlignment="1">
      <alignment horizontal="center"/>
    </xf>
    <xf numFmtId="165" fontId="46" fillId="0" borderId="12" xfId="0" applyNumberFormat="1" applyFont="1" applyBorder="1" applyAlignment="1">
      <alignment horizontal="center"/>
    </xf>
    <xf numFmtId="164" fontId="46" fillId="0" borderId="0" xfId="0" applyNumberFormat="1" applyFont="1" applyFill="1" applyAlignment="1">
      <alignment/>
    </xf>
    <xf numFmtId="169" fontId="46" fillId="0" borderId="0" xfId="0" applyNumberFormat="1" applyFont="1" applyAlignment="1">
      <alignment horizontal="center"/>
    </xf>
    <xf numFmtId="169" fontId="46" fillId="0" borderId="11" xfId="0" applyNumberFormat="1" applyFont="1" applyBorder="1" applyAlignment="1">
      <alignment horizontal="center"/>
    </xf>
    <xf numFmtId="169" fontId="46" fillId="0" borderId="0" xfId="0" applyNumberFormat="1" applyFont="1" applyBorder="1" applyAlignment="1">
      <alignment horizontal="center"/>
    </xf>
    <xf numFmtId="165" fontId="46" fillId="0" borderId="0" xfId="0" applyNumberFormat="1" applyFont="1" applyBorder="1" applyAlignment="1">
      <alignment wrapText="1"/>
    </xf>
    <xf numFmtId="165" fontId="4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167" fontId="46" fillId="0" borderId="0" xfId="0" applyNumberFormat="1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168" fontId="0" fillId="0" borderId="0" xfId="0" applyNumberFormat="1" applyAlignment="1">
      <alignment horizontal="center"/>
    </xf>
    <xf numFmtId="168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166" fontId="46" fillId="0" borderId="0" xfId="0" applyNumberFormat="1" applyFont="1" applyFill="1" applyBorder="1" applyAlignment="1">
      <alignment horizontal="center"/>
    </xf>
    <xf numFmtId="6" fontId="46" fillId="0" borderId="0" xfId="0" applyNumberFormat="1" applyFont="1" applyBorder="1" applyAlignment="1">
      <alignment/>
    </xf>
    <xf numFmtId="6" fontId="46" fillId="0" borderId="0" xfId="0" applyNumberFormat="1" applyFont="1" applyBorder="1" applyAlignment="1">
      <alignment horizontal="right"/>
    </xf>
    <xf numFmtId="167" fontId="0" fillId="0" borderId="11" xfId="0" applyNumberFormat="1" applyBorder="1" applyAlignment="1">
      <alignment horizontal="center"/>
    </xf>
    <xf numFmtId="164" fontId="46" fillId="0" borderId="0" xfId="0" applyNumberFormat="1" applyFont="1" applyAlignment="1" applyProtection="1">
      <alignment/>
      <protection locked="0"/>
    </xf>
    <xf numFmtId="167" fontId="46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166" fontId="46" fillId="0" borderId="0" xfId="0" applyNumberFormat="1" applyFont="1" applyFill="1" applyAlignment="1">
      <alignment/>
    </xf>
    <xf numFmtId="169" fontId="46" fillId="0" borderId="0" xfId="0" applyNumberFormat="1" applyFont="1" applyFill="1" applyAlignment="1">
      <alignment/>
    </xf>
    <xf numFmtId="0" fontId="46" fillId="0" borderId="0" xfId="0" applyFont="1" applyFill="1" applyBorder="1" applyAlignment="1">
      <alignment/>
    </xf>
    <xf numFmtId="0" fontId="50" fillId="0" borderId="0" xfId="0" applyFont="1" applyAlignment="1">
      <alignment/>
    </xf>
    <xf numFmtId="6" fontId="50" fillId="0" borderId="11" xfId="0" applyNumberFormat="1" applyFont="1" applyBorder="1" applyAlignment="1">
      <alignment/>
    </xf>
    <xf numFmtId="0" fontId="50" fillId="0" borderId="11" xfId="0" applyFont="1" applyBorder="1" applyAlignment="1">
      <alignment/>
    </xf>
    <xf numFmtId="6" fontId="46" fillId="0" borderId="11" xfId="0" applyNumberFormat="1" applyFont="1" applyBorder="1" applyAlignment="1">
      <alignment/>
    </xf>
    <xf numFmtId="6" fontId="46" fillId="0" borderId="12" xfId="0" applyNumberFormat="1" applyFont="1" applyBorder="1" applyAlignment="1">
      <alignment/>
    </xf>
    <xf numFmtId="40" fontId="46" fillId="0" borderId="12" xfId="0" applyNumberFormat="1" applyFont="1" applyBorder="1" applyAlignment="1">
      <alignment/>
    </xf>
    <xf numFmtId="6" fontId="51" fillId="0" borderId="0" xfId="0" applyNumberFormat="1" applyFont="1" applyBorder="1" applyAlignment="1">
      <alignment horizontal="right"/>
    </xf>
    <xf numFmtId="0" fontId="51" fillId="0" borderId="0" xfId="0" applyFont="1" applyAlignment="1">
      <alignment horizontal="left"/>
    </xf>
    <xf numFmtId="6" fontId="0" fillId="0" borderId="0" xfId="0" applyNumberFormat="1" applyAlignment="1">
      <alignment horizontal="right"/>
    </xf>
    <xf numFmtId="6" fontId="50" fillId="0" borderId="11" xfId="0" applyNumberFormat="1" applyFont="1" applyBorder="1" applyAlignment="1">
      <alignment horizontal="right"/>
    </xf>
    <xf numFmtId="6" fontId="46" fillId="0" borderId="13" xfId="0" applyNumberFormat="1" applyFont="1" applyBorder="1" applyAlignment="1">
      <alignment horizontal="right"/>
    </xf>
    <xf numFmtId="40" fontId="46" fillId="0" borderId="12" xfId="0" applyNumberFormat="1" applyFont="1" applyBorder="1" applyAlignment="1">
      <alignment horizontal="right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164" fontId="49" fillId="0" borderId="19" xfId="0" applyNumberFormat="1" applyFont="1" applyBorder="1" applyAlignment="1">
      <alignment horizontal="center" vertical="center" wrapText="1"/>
    </xf>
    <xf numFmtId="164" fontId="49" fillId="0" borderId="21" xfId="0" applyNumberFormat="1" applyFont="1" applyBorder="1" applyAlignment="1">
      <alignment horizontal="center" vertical="center" wrapText="1"/>
    </xf>
    <xf numFmtId="164" fontId="46" fillId="33" borderId="17" xfId="0" applyNumberFormat="1" applyFont="1" applyFill="1" applyBorder="1" applyAlignment="1">
      <alignment horizontal="center" vertical="center"/>
    </xf>
    <xf numFmtId="164" fontId="46" fillId="33" borderId="22" xfId="0" applyNumberFormat="1" applyFont="1" applyFill="1" applyBorder="1" applyAlignment="1">
      <alignment horizontal="center" vertical="center"/>
    </xf>
    <xf numFmtId="164" fontId="46" fillId="0" borderId="14" xfId="0" applyNumberFormat="1" applyFont="1" applyBorder="1" applyAlignment="1">
      <alignment horizontal="center" vertical="center"/>
    </xf>
    <xf numFmtId="164" fontId="46" fillId="0" borderId="23" xfId="0" applyNumberFormat="1" applyFont="1" applyBorder="1" applyAlignment="1">
      <alignment horizontal="center" vertical="center"/>
    </xf>
    <xf numFmtId="164" fontId="46" fillId="33" borderId="23" xfId="0" applyNumberFormat="1" applyFont="1" applyFill="1" applyBorder="1" applyAlignment="1">
      <alignment horizontal="center" vertical="center"/>
    </xf>
    <xf numFmtId="164" fontId="46" fillId="33" borderId="14" xfId="0" applyNumberFormat="1" applyFont="1" applyFill="1" applyBorder="1" applyAlignment="1">
      <alignment horizontal="center" vertical="center"/>
    </xf>
    <xf numFmtId="169" fontId="46" fillId="0" borderId="14" xfId="0" applyNumberFormat="1" applyFont="1" applyBorder="1" applyAlignment="1">
      <alignment horizontal="center" vertical="center"/>
    </xf>
    <xf numFmtId="169" fontId="46" fillId="34" borderId="23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11" xfId="0" applyFont="1" applyBorder="1" applyAlignment="1">
      <alignment horizontal="center"/>
    </xf>
    <xf numFmtId="6" fontId="46" fillId="0" borderId="0" xfId="0" applyNumberFormat="1" applyFont="1" applyAlignment="1">
      <alignment horizontal="right"/>
    </xf>
    <xf numFmtId="0" fontId="46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 quotePrefix="1">
      <alignment horizontal="left" wrapText="1"/>
    </xf>
    <xf numFmtId="3" fontId="46" fillId="0" borderId="0" xfId="0" applyNumberFormat="1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center" wrapText="1"/>
    </xf>
    <xf numFmtId="164" fontId="46" fillId="0" borderId="0" xfId="0" applyNumberFormat="1" applyFont="1" applyAlignment="1">
      <alignment horizontal="center" wrapText="1"/>
    </xf>
    <xf numFmtId="164" fontId="46" fillId="0" borderId="10" xfId="0" applyNumberFormat="1" applyFont="1" applyBorder="1" applyAlignment="1">
      <alignment horizontal="center" wrapText="1"/>
    </xf>
    <xf numFmtId="165" fontId="46" fillId="0" borderId="0" xfId="0" applyNumberFormat="1" applyFont="1" applyBorder="1" applyAlignment="1">
      <alignment horizontal="center" wrapText="1"/>
    </xf>
    <xf numFmtId="165" fontId="46" fillId="0" borderId="10" xfId="0" applyNumberFormat="1" applyFont="1" applyBorder="1" applyAlignment="1">
      <alignment horizontal="center" wrapText="1"/>
    </xf>
    <xf numFmtId="164" fontId="46" fillId="0" borderId="0" xfId="0" applyNumberFormat="1" applyFont="1" applyBorder="1" applyAlignment="1">
      <alignment horizontal="center" wrapText="1"/>
    </xf>
    <xf numFmtId="167" fontId="46" fillId="0" borderId="0" xfId="0" applyNumberFormat="1" applyFont="1" applyBorder="1" applyAlignment="1">
      <alignment horizontal="center" vertical="center" wrapText="1"/>
    </xf>
    <xf numFmtId="167" fontId="46" fillId="0" borderId="10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67" fontId="46" fillId="0" borderId="0" xfId="0" applyNumberFormat="1" applyFont="1" applyBorder="1" applyAlignment="1">
      <alignment horizontal="center" wrapText="1"/>
    </xf>
    <xf numFmtId="167" fontId="46" fillId="0" borderId="10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169" fontId="46" fillId="0" borderId="0" xfId="0" applyNumberFormat="1" applyFont="1" applyBorder="1" applyAlignment="1">
      <alignment horizontal="center" wrapText="1"/>
    </xf>
    <xf numFmtId="169" fontId="46" fillId="0" borderId="10" xfId="0" applyNumberFormat="1" applyFont="1" applyBorder="1" applyAlignment="1">
      <alignment horizontal="center" wrapText="1"/>
    </xf>
    <xf numFmtId="0" fontId="46" fillId="0" borderId="0" xfId="0" applyFont="1" applyAlignment="1" quotePrefix="1">
      <alignment horizontal="center" wrapText="1"/>
    </xf>
    <xf numFmtId="0" fontId="0" fillId="0" borderId="0" xfId="0" applyAlignment="1" quotePrefix="1">
      <alignment horizontal="left" wrapText="1"/>
    </xf>
    <xf numFmtId="166" fontId="46" fillId="0" borderId="0" xfId="0" applyNumberFormat="1" applyFont="1" applyBorder="1" applyAlignment="1">
      <alignment horizontal="center" wrapText="1"/>
    </xf>
    <xf numFmtId="166" fontId="46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 horizontal="center"/>
    </xf>
    <xf numFmtId="164" fontId="46" fillId="0" borderId="0" xfId="0" applyNumberFormat="1" applyFont="1" applyBorder="1" applyAlignment="1">
      <alignment horizontal="center" wrapText="1"/>
    </xf>
    <xf numFmtId="165" fontId="46" fillId="0" borderId="0" xfId="0" applyNumberFormat="1" applyFont="1" applyAlignment="1">
      <alignment horizontal="center"/>
    </xf>
    <xf numFmtId="167" fontId="46" fillId="0" borderId="0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 wrapText="1"/>
    </xf>
    <xf numFmtId="164" fontId="46" fillId="0" borderId="0" xfId="0" applyNumberFormat="1" applyFont="1" applyBorder="1" applyAlignment="1">
      <alignment horizontal="center" wrapText="1"/>
    </xf>
    <xf numFmtId="165" fontId="46" fillId="0" borderId="0" xfId="0" applyNumberFormat="1" applyFont="1" applyBorder="1" applyAlignment="1">
      <alignment horizontal="center"/>
    </xf>
    <xf numFmtId="165" fontId="46" fillId="0" borderId="0" xfId="0" applyNumberFormat="1" applyFont="1" applyBorder="1" applyAlignment="1">
      <alignment horizontal="center" wrapText="1"/>
    </xf>
    <xf numFmtId="10" fontId="46" fillId="0" borderId="0" xfId="0" applyNumberFormat="1" applyFont="1" applyBorder="1" applyAlignment="1">
      <alignment horizontal="center" wrapText="1"/>
    </xf>
    <xf numFmtId="167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165" fontId="46" fillId="0" borderId="0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167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wrapText="1"/>
    </xf>
    <xf numFmtId="164" fontId="46" fillId="0" borderId="10" xfId="0" applyNumberFormat="1" applyFont="1" applyBorder="1" applyAlignment="1">
      <alignment horizontal="center" wrapText="1"/>
    </xf>
    <xf numFmtId="164" fontId="46" fillId="0" borderId="10" xfId="0" applyNumberFormat="1" applyFont="1" applyBorder="1" applyAlignment="1">
      <alignment horizontal="center" wrapText="1"/>
    </xf>
    <xf numFmtId="165" fontId="46" fillId="0" borderId="10" xfId="0" applyNumberFormat="1" applyFont="1" applyBorder="1" applyAlignment="1">
      <alignment horizontal="center" wrapText="1"/>
    </xf>
    <xf numFmtId="165" fontId="46" fillId="0" borderId="10" xfId="0" applyNumberFormat="1" applyFont="1" applyBorder="1" applyAlignment="1">
      <alignment horizontal="center" wrapText="1"/>
    </xf>
    <xf numFmtId="10" fontId="46" fillId="0" borderId="10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164" fontId="46" fillId="0" borderId="11" xfId="0" applyNumberFormat="1" applyFont="1" applyBorder="1" applyAlignment="1">
      <alignment horizontal="center"/>
    </xf>
    <xf numFmtId="165" fontId="46" fillId="0" borderId="11" xfId="0" applyNumberFormat="1" applyFont="1" applyBorder="1" applyAlignment="1">
      <alignment horizontal="center"/>
    </xf>
    <xf numFmtId="164" fontId="46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3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 quotePrefix="1">
      <alignment/>
    </xf>
    <xf numFmtId="0" fontId="46" fillId="0" borderId="0" xfId="0" applyFont="1" applyAlignment="1" quotePrefix="1">
      <alignment/>
    </xf>
    <xf numFmtId="0" fontId="46" fillId="0" borderId="0" xfId="0" applyFont="1" applyAlignment="1" quotePrefix="1">
      <alignment horizontal="left" wrapText="1"/>
    </xf>
    <xf numFmtId="0" fontId="0" fillId="0" borderId="0" xfId="0" applyFont="1" applyAlignment="1" quotePrefix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5.00390625" style="0" customWidth="1"/>
    <col min="2" max="2" width="25.28125" style="0" customWidth="1"/>
    <col min="3" max="3" width="14.57421875" style="0" customWidth="1"/>
    <col min="4" max="4" width="13.7109375" style="37" customWidth="1"/>
    <col min="5" max="5" width="12.57421875" style="37" customWidth="1"/>
    <col min="6" max="6" width="12.7109375" style="37" customWidth="1"/>
  </cols>
  <sheetData>
    <row r="1" ht="23.25">
      <c r="A1" s="2" t="s">
        <v>0</v>
      </c>
    </row>
    <row r="2" ht="14.25">
      <c r="A2" t="s">
        <v>171</v>
      </c>
    </row>
    <row r="3" ht="14.25">
      <c r="A3" s="1" t="s">
        <v>39</v>
      </c>
    </row>
    <row r="5" ht="15" thickBot="1"/>
    <row r="6" spans="1:6" ht="24" thickBot="1">
      <c r="A6" s="139" t="s">
        <v>134</v>
      </c>
      <c r="B6" s="140" t="s">
        <v>135</v>
      </c>
      <c r="C6" s="140" t="s">
        <v>136</v>
      </c>
      <c r="D6" s="142" t="s">
        <v>131</v>
      </c>
      <c r="E6" s="142" t="s">
        <v>132</v>
      </c>
      <c r="F6" s="143" t="s">
        <v>133</v>
      </c>
    </row>
    <row r="7" spans="1:6" ht="51" customHeight="1">
      <c r="A7" s="137" t="s">
        <v>137</v>
      </c>
      <c r="B7" s="138" t="s">
        <v>138</v>
      </c>
      <c r="C7" s="138" t="s">
        <v>154</v>
      </c>
      <c r="D7" s="144"/>
      <c r="E7" s="144"/>
      <c r="F7" s="145"/>
    </row>
    <row r="8" spans="1:6" ht="36" customHeight="1">
      <c r="A8" s="136" t="s">
        <v>157</v>
      </c>
      <c r="B8" s="134" t="s">
        <v>139</v>
      </c>
      <c r="C8" s="135" t="s">
        <v>140</v>
      </c>
      <c r="D8" s="146">
        <v>106924583</v>
      </c>
      <c r="E8" s="146">
        <v>51598472</v>
      </c>
      <c r="F8" s="147">
        <v>76510103</v>
      </c>
    </row>
    <row r="9" spans="1:6" ht="36" customHeight="1">
      <c r="A9" s="136" t="s">
        <v>141</v>
      </c>
      <c r="B9" s="134" t="s">
        <v>142</v>
      </c>
      <c r="C9" s="135" t="s">
        <v>142</v>
      </c>
      <c r="D9" s="146">
        <v>180173928</v>
      </c>
      <c r="E9" s="146">
        <v>86946323</v>
      </c>
      <c r="F9" s="147">
        <v>128923820</v>
      </c>
    </row>
    <row r="10" spans="1:6" ht="36" customHeight="1">
      <c r="A10" s="136" t="s">
        <v>143</v>
      </c>
      <c r="B10" s="134" t="s">
        <v>144</v>
      </c>
      <c r="C10" s="135" t="s">
        <v>145</v>
      </c>
      <c r="D10" s="146">
        <v>13424038</v>
      </c>
      <c r="E10" s="146">
        <v>6263879</v>
      </c>
      <c r="F10" s="147">
        <v>9467021</v>
      </c>
    </row>
    <row r="11" spans="1:6" ht="36" customHeight="1">
      <c r="A11" s="136" t="s">
        <v>146</v>
      </c>
      <c r="B11" s="134" t="s">
        <v>147</v>
      </c>
      <c r="C11" s="135" t="s">
        <v>148</v>
      </c>
      <c r="D11" s="146">
        <v>20922778</v>
      </c>
      <c r="E11" s="146">
        <v>10096681</v>
      </c>
      <c r="F11" s="147">
        <v>14971336</v>
      </c>
    </row>
    <row r="12" spans="1:6" ht="36" customHeight="1">
      <c r="A12" s="136" t="s">
        <v>149</v>
      </c>
      <c r="B12" s="154" t="s">
        <v>155</v>
      </c>
      <c r="C12" s="155"/>
      <c r="D12" s="156"/>
      <c r="E12" s="146">
        <v>13223359</v>
      </c>
      <c r="F12" s="148"/>
    </row>
    <row r="13" spans="1:6" ht="36" customHeight="1">
      <c r="A13" s="136" t="s">
        <v>150</v>
      </c>
      <c r="B13" s="154" t="s">
        <v>156</v>
      </c>
      <c r="C13" s="155"/>
      <c r="D13" s="156"/>
      <c r="E13" s="149"/>
      <c r="F13" s="147">
        <v>10815451</v>
      </c>
    </row>
    <row r="14" spans="1:6" ht="36" customHeight="1">
      <c r="A14" s="141" t="s">
        <v>151</v>
      </c>
      <c r="B14" s="157"/>
      <c r="C14" s="157"/>
      <c r="D14" s="158"/>
      <c r="E14" s="146">
        <v>154905355</v>
      </c>
      <c r="F14" s="147">
        <v>229872280</v>
      </c>
    </row>
    <row r="15" spans="1:6" ht="36" customHeight="1">
      <c r="A15" s="141" t="s">
        <v>47</v>
      </c>
      <c r="B15" s="152"/>
      <c r="C15" s="152"/>
      <c r="D15" s="153"/>
      <c r="E15" s="146">
        <v>141681996</v>
      </c>
      <c r="F15" s="147">
        <v>219056829</v>
      </c>
    </row>
    <row r="16" spans="1:6" ht="36" customHeight="1">
      <c r="A16" s="141" t="s">
        <v>153</v>
      </c>
      <c r="B16" s="152"/>
      <c r="C16" s="152"/>
      <c r="D16" s="153"/>
      <c r="E16" s="150">
        <v>11.71</v>
      </c>
      <c r="F16" s="148"/>
    </row>
    <row r="17" spans="1:6" ht="36" customHeight="1">
      <c r="A17" s="141" t="s">
        <v>152</v>
      </c>
      <c r="B17" s="152"/>
      <c r="C17" s="152"/>
      <c r="D17" s="153"/>
      <c r="E17" s="149"/>
      <c r="F17" s="151">
        <v>21.25</v>
      </c>
    </row>
  </sheetData>
  <sheetProtection/>
  <mergeCells count="6">
    <mergeCell ref="B17:D17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5.421875" style="0" customWidth="1"/>
    <col min="2" max="2" width="1.8515625" style="0" customWidth="1"/>
    <col min="3" max="3" width="7.7109375" style="0" customWidth="1"/>
    <col min="4" max="4" width="1.7109375" style="0" customWidth="1"/>
    <col min="5" max="5" width="7.421875" style="21" customWidth="1"/>
    <col min="6" max="6" width="2.00390625" style="0" customWidth="1"/>
    <col min="7" max="7" width="8.28125" style="0" customWidth="1"/>
    <col min="8" max="8" width="2.00390625" style="0" customWidth="1"/>
    <col min="9" max="9" width="7.421875" style="25" customWidth="1"/>
    <col min="10" max="10" width="1.57421875" style="0" customWidth="1"/>
    <col min="11" max="11" width="9.00390625" style="0" customWidth="1"/>
    <col min="12" max="12" width="1.57421875" style="0" customWidth="1"/>
    <col min="13" max="13" width="9.140625" style="16" customWidth="1"/>
    <col min="14" max="14" width="1.28515625" style="0" customWidth="1"/>
    <col min="15" max="15" width="11.140625" style="16" customWidth="1"/>
    <col min="16" max="16" width="1.421875" style="0" customWidth="1"/>
    <col min="17" max="17" width="11.421875" style="32" customWidth="1"/>
    <col min="18" max="18" width="3.57421875" style="0" customWidth="1"/>
    <col min="19" max="19" width="5.7109375" style="55" customWidth="1"/>
    <col min="20" max="20" width="3.7109375" style="55" customWidth="1"/>
    <col min="21" max="21" width="4.8515625" style="55" customWidth="1"/>
  </cols>
  <sheetData>
    <row r="1" ht="23.25">
      <c r="A1" s="2" t="s">
        <v>0</v>
      </c>
    </row>
    <row r="2" ht="14.25">
      <c r="A2" t="s">
        <v>171</v>
      </c>
    </row>
    <row r="3" ht="14.25">
      <c r="A3" s="1" t="s">
        <v>19</v>
      </c>
    </row>
    <row r="5" ht="14.25">
      <c r="K5" s="168" t="s">
        <v>23</v>
      </c>
    </row>
    <row r="6" spans="1:17" ht="15" customHeight="1">
      <c r="A6" s="3"/>
      <c r="B6" s="3"/>
      <c r="C6" s="3"/>
      <c r="D6" s="3"/>
      <c r="E6" s="22"/>
      <c r="F6" s="3"/>
      <c r="G6" s="3"/>
      <c r="H6" s="3"/>
      <c r="I6" s="26"/>
      <c r="J6" s="3"/>
      <c r="K6" s="168"/>
      <c r="L6" s="19"/>
      <c r="M6" s="184" t="s">
        <v>24</v>
      </c>
      <c r="N6" s="3"/>
      <c r="O6" s="31"/>
      <c r="P6" s="3"/>
      <c r="Q6" s="33"/>
    </row>
    <row r="7" spans="1:17" ht="15" customHeight="1">
      <c r="A7" s="3"/>
      <c r="B7" s="4"/>
      <c r="C7" s="4"/>
      <c r="D7" s="4"/>
      <c r="E7" s="23"/>
      <c r="F7" s="4"/>
      <c r="G7" s="4"/>
      <c r="H7" s="4"/>
      <c r="I7" s="27"/>
      <c r="J7" s="15"/>
      <c r="K7" s="168"/>
      <c r="L7" s="19"/>
      <c r="M7" s="184"/>
      <c r="N7" s="4"/>
      <c r="O7" s="184" t="s">
        <v>125</v>
      </c>
      <c r="P7" s="5"/>
      <c r="Q7" s="180" t="s">
        <v>126</v>
      </c>
    </row>
    <row r="8" spans="1:17" ht="15" customHeight="1">
      <c r="A8" s="4"/>
      <c r="B8" s="4"/>
      <c r="C8" s="4"/>
      <c r="D8" s="4"/>
      <c r="E8" s="171" t="s">
        <v>20</v>
      </c>
      <c r="F8" s="17"/>
      <c r="G8" s="177" t="s">
        <v>21</v>
      </c>
      <c r="H8" s="17"/>
      <c r="I8" s="164" t="s">
        <v>22</v>
      </c>
      <c r="J8" s="19"/>
      <c r="K8" s="168"/>
      <c r="L8" s="19"/>
      <c r="M8" s="184"/>
      <c r="N8" s="6"/>
      <c r="O8" s="184"/>
      <c r="P8" s="5"/>
      <c r="Q8" s="180"/>
    </row>
    <row r="9" spans="1:17" ht="15" customHeight="1">
      <c r="A9" s="4"/>
      <c r="B9" s="4"/>
      <c r="C9" s="4"/>
      <c r="D9" s="4"/>
      <c r="E9" s="171"/>
      <c r="F9" s="17"/>
      <c r="G9" s="177"/>
      <c r="H9" s="17"/>
      <c r="I9" s="164"/>
      <c r="J9" s="19"/>
      <c r="K9" s="168"/>
      <c r="L9" s="19"/>
      <c r="M9" s="184"/>
      <c r="N9" s="6"/>
      <c r="O9" s="184"/>
      <c r="P9" s="5"/>
      <c r="Q9" s="180"/>
    </row>
    <row r="10" spans="1:17" ht="14.25">
      <c r="A10" s="161" t="s">
        <v>12</v>
      </c>
      <c r="B10" s="4"/>
      <c r="C10" s="161" t="s">
        <v>3</v>
      </c>
      <c r="D10" s="4"/>
      <c r="E10" s="171"/>
      <c r="F10" s="17"/>
      <c r="G10" s="177"/>
      <c r="H10" s="17"/>
      <c r="I10" s="164"/>
      <c r="J10" s="19"/>
      <c r="K10" s="168"/>
      <c r="L10" s="19"/>
      <c r="M10" s="184"/>
      <c r="N10" s="6"/>
      <c r="O10" s="184"/>
      <c r="P10" s="5"/>
      <c r="Q10" s="180"/>
    </row>
    <row r="11" spans="1:17" ht="15" thickBot="1">
      <c r="A11" s="162"/>
      <c r="B11" s="7"/>
      <c r="C11" s="162"/>
      <c r="D11" s="7"/>
      <c r="E11" s="172"/>
      <c r="F11" s="18"/>
      <c r="G11" s="178"/>
      <c r="H11" s="18"/>
      <c r="I11" s="165"/>
      <c r="J11" s="20"/>
      <c r="K11" s="169"/>
      <c r="L11" s="20"/>
      <c r="M11" s="185"/>
      <c r="N11" s="8"/>
      <c r="O11" s="185"/>
      <c r="P11" s="9"/>
      <c r="Q11" s="181"/>
    </row>
    <row r="13" spans="1:17" ht="14.25">
      <c r="A13" s="55">
        <v>1</v>
      </c>
      <c r="B13" s="55"/>
      <c r="C13" s="55">
        <v>2018</v>
      </c>
      <c r="D13" s="55"/>
      <c r="E13" s="62">
        <f>SUM(80*G13)</f>
        <v>7680</v>
      </c>
      <c r="F13" s="55"/>
      <c r="G13" s="55">
        <v>96</v>
      </c>
      <c r="H13" s="55"/>
      <c r="I13" s="56">
        <f>SUM(G13*1200)</f>
        <v>115200</v>
      </c>
      <c r="J13" s="55"/>
      <c r="K13" s="107">
        <f>SUM(I13/1000000000)</f>
        <v>0.0001152</v>
      </c>
      <c r="L13" s="55"/>
      <c r="M13" s="63">
        <f>SUM(K13*91112)</f>
        <v>10.4961024</v>
      </c>
      <c r="N13" s="55"/>
      <c r="O13" s="63">
        <f>SUM(M13/(1.07)^A13)</f>
        <v>9.809441495327102</v>
      </c>
      <c r="P13" s="55"/>
      <c r="Q13" s="59">
        <f>SUM(M13/(1.03)^A13)</f>
        <v>10.19039067961165</v>
      </c>
    </row>
    <row r="14" spans="1:17" ht="14.25">
      <c r="A14" s="55">
        <v>2</v>
      </c>
      <c r="B14" s="55"/>
      <c r="C14" s="55">
        <v>2019</v>
      </c>
      <c r="D14" s="55"/>
      <c r="E14" s="62">
        <f aca="true" t="shared" si="0" ref="E14:E32">SUM(80*G14)</f>
        <v>7680</v>
      </c>
      <c r="F14" s="55"/>
      <c r="G14" s="55">
        <v>96</v>
      </c>
      <c r="H14" s="55"/>
      <c r="I14" s="56">
        <f aca="true" t="shared" si="1" ref="I14:I32">SUM(G14*1200)</f>
        <v>115200</v>
      </c>
      <c r="J14" s="55"/>
      <c r="K14" s="107">
        <f aca="true" t="shared" si="2" ref="K14:K32">SUM(I14/1000000000)</f>
        <v>0.0001152</v>
      </c>
      <c r="L14" s="55"/>
      <c r="M14" s="63">
        <f aca="true" t="shared" si="3" ref="M14:M32">SUM(K14*91112)</f>
        <v>10.4961024</v>
      </c>
      <c r="N14" s="55"/>
      <c r="O14" s="63">
        <f aca="true" t="shared" si="4" ref="O14:O32">SUM(M14/(1.07)^A14)</f>
        <v>9.167702332081404</v>
      </c>
      <c r="P14" s="55"/>
      <c r="Q14" s="59">
        <f aca="true" t="shared" si="5" ref="Q14:Q32">SUM(M14/(1.03)^A14)</f>
        <v>9.893583184088982</v>
      </c>
    </row>
    <row r="15" spans="1:17" ht="14.25">
      <c r="A15" s="55">
        <v>3</v>
      </c>
      <c r="B15" s="55"/>
      <c r="C15" s="55">
        <v>2020</v>
      </c>
      <c r="D15" s="55"/>
      <c r="E15" s="62">
        <f t="shared" si="0"/>
        <v>7680</v>
      </c>
      <c r="F15" s="55"/>
      <c r="G15" s="55">
        <v>96</v>
      </c>
      <c r="H15" s="55"/>
      <c r="I15" s="56">
        <f t="shared" si="1"/>
        <v>115200</v>
      </c>
      <c r="J15" s="55"/>
      <c r="K15" s="107">
        <f t="shared" si="2"/>
        <v>0.0001152</v>
      </c>
      <c r="L15" s="55"/>
      <c r="M15" s="63">
        <f t="shared" si="3"/>
        <v>10.4961024</v>
      </c>
      <c r="N15" s="55"/>
      <c r="O15" s="63">
        <f t="shared" si="4"/>
        <v>8.567946104748975</v>
      </c>
      <c r="P15" s="55"/>
      <c r="Q15" s="59">
        <f t="shared" si="5"/>
        <v>9.605420567076681</v>
      </c>
    </row>
    <row r="16" spans="1:17" ht="14.25">
      <c r="A16" s="55">
        <v>4</v>
      </c>
      <c r="B16" s="55"/>
      <c r="C16" s="55">
        <v>2021</v>
      </c>
      <c r="D16" s="55"/>
      <c r="E16" s="62">
        <f t="shared" si="0"/>
        <v>7680</v>
      </c>
      <c r="F16" s="55"/>
      <c r="G16" s="55">
        <v>96</v>
      </c>
      <c r="H16" s="55"/>
      <c r="I16" s="56">
        <f t="shared" si="1"/>
        <v>115200</v>
      </c>
      <c r="J16" s="55"/>
      <c r="K16" s="107">
        <f t="shared" si="2"/>
        <v>0.0001152</v>
      </c>
      <c r="L16" s="55"/>
      <c r="M16" s="63">
        <f t="shared" si="3"/>
        <v>10.4961024</v>
      </c>
      <c r="N16" s="55"/>
      <c r="O16" s="63">
        <f t="shared" si="4"/>
        <v>8.007426266120538</v>
      </c>
      <c r="P16" s="55"/>
      <c r="Q16" s="59">
        <f t="shared" si="5"/>
        <v>9.325651035996778</v>
      </c>
    </row>
    <row r="17" spans="1:17" ht="14.25">
      <c r="A17" s="55">
        <v>5</v>
      </c>
      <c r="B17" s="55"/>
      <c r="C17" s="55">
        <v>2022</v>
      </c>
      <c r="D17" s="55"/>
      <c r="E17" s="62">
        <f t="shared" si="0"/>
        <v>15360</v>
      </c>
      <c r="F17" s="55"/>
      <c r="G17" s="55">
        <v>192</v>
      </c>
      <c r="H17" s="55"/>
      <c r="I17" s="56">
        <f t="shared" si="1"/>
        <v>230400</v>
      </c>
      <c r="J17" s="55"/>
      <c r="K17" s="107">
        <f t="shared" si="2"/>
        <v>0.0002304</v>
      </c>
      <c r="L17" s="55"/>
      <c r="M17" s="63">
        <f t="shared" si="3"/>
        <v>20.9922048</v>
      </c>
      <c r="N17" s="55"/>
      <c r="O17" s="63">
        <f t="shared" si="4"/>
        <v>14.967151899290725</v>
      </c>
      <c r="P17" s="55"/>
      <c r="Q17" s="59">
        <f t="shared" si="5"/>
        <v>18.108060264071415</v>
      </c>
    </row>
    <row r="18" spans="1:17" ht="14.25">
      <c r="A18" s="55">
        <v>6</v>
      </c>
      <c r="B18" s="55"/>
      <c r="C18" s="55">
        <v>2023</v>
      </c>
      <c r="D18" s="55"/>
      <c r="E18" s="62">
        <f t="shared" si="0"/>
        <v>15360</v>
      </c>
      <c r="F18" s="55"/>
      <c r="G18" s="55">
        <v>192</v>
      </c>
      <c r="H18" s="55"/>
      <c r="I18" s="56">
        <f t="shared" si="1"/>
        <v>230400</v>
      </c>
      <c r="J18" s="55"/>
      <c r="K18" s="107">
        <f t="shared" si="2"/>
        <v>0.0002304</v>
      </c>
      <c r="L18" s="55"/>
      <c r="M18" s="63">
        <f t="shared" si="3"/>
        <v>20.9922048</v>
      </c>
      <c r="N18" s="55"/>
      <c r="O18" s="63">
        <f t="shared" si="4"/>
        <v>13.987992429243668</v>
      </c>
      <c r="P18" s="55"/>
      <c r="Q18" s="59">
        <f t="shared" si="5"/>
        <v>17.580641033079043</v>
      </c>
    </row>
    <row r="19" spans="1:17" ht="14.25">
      <c r="A19" s="55">
        <v>7</v>
      </c>
      <c r="B19" s="55"/>
      <c r="C19" s="55">
        <v>2024</v>
      </c>
      <c r="D19" s="55"/>
      <c r="E19" s="62">
        <f t="shared" si="0"/>
        <v>15360</v>
      </c>
      <c r="F19" s="55"/>
      <c r="G19" s="55">
        <v>192</v>
      </c>
      <c r="H19" s="55"/>
      <c r="I19" s="56">
        <f t="shared" si="1"/>
        <v>230400</v>
      </c>
      <c r="J19" s="55"/>
      <c r="K19" s="107">
        <f t="shared" si="2"/>
        <v>0.0002304</v>
      </c>
      <c r="L19" s="55"/>
      <c r="M19" s="63">
        <f t="shared" si="3"/>
        <v>20.9922048</v>
      </c>
      <c r="N19" s="55"/>
      <c r="O19" s="63">
        <f t="shared" si="4"/>
        <v>13.072890120788474</v>
      </c>
      <c r="P19" s="55"/>
      <c r="Q19" s="59">
        <f t="shared" si="5"/>
        <v>17.068583527261204</v>
      </c>
    </row>
    <row r="20" spans="1:17" ht="14.25">
      <c r="A20" s="55">
        <v>8</v>
      </c>
      <c r="B20" s="55"/>
      <c r="C20" s="55">
        <v>2025</v>
      </c>
      <c r="D20" s="55"/>
      <c r="E20" s="62">
        <f t="shared" si="0"/>
        <v>16000</v>
      </c>
      <c r="F20" s="55"/>
      <c r="G20" s="55">
        <v>200</v>
      </c>
      <c r="H20" s="55"/>
      <c r="I20" s="56">
        <f t="shared" si="1"/>
        <v>240000</v>
      </c>
      <c r="J20" s="55"/>
      <c r="K20" s="107">
        <f t="shared" si="2"/>
        <v>0.00024</v>
      </c>
      <c r="L20" s="55"/>
      <c r="M20" s="63">
        <f t="shared" si="3"/>
        <v>21.866880000000002</v>
      </c>
      <c r="N20" s="55"/>
      <c r="O20" s="63">
        <f t="shared" si="4"/>
        <v>12.72672324843115</v>
      </c>
      <c r="P20" s="55"/>
      <c r="Q20" s="59">
        <f t="shared" si="5"/>
        <v>17.261916997634717</v>
      </c>
    </row>
    <row r="21" spans="1:17" ht="14.25">
      <c r="A21" s="55">
        <v>9</v>
      </c>
      <c r="B21" s="55"/>
      <c r="C21" s="55">
        <v>2026</v>
      </c>
      <c r="D21" s="55"/>
      <c r="E21" s="62">
        <f t="shared" si="0"/>
        <v>16000</v>
      </c>
      <c r="F21" s="55"/>
      <c r="G21" s="55">
        <v>200</v>
      </c>
      <c r="H21" s="55"/>
      <c r="I21" s="56">
        <f t="shared" si="1"/>
        <v>240000</v>
      </c>
      <c r="J21" s="55"/>
      <c r="K21" s="107">
        <f t="shared" si="2"/>
        <v>0.00024</v>
      </c>
      <c r="L21" s="55"/>
      <c r="M21" s="63">
        <f t="shared" si="3"/>
        <v>21.866880000000002</v>
      </c>
      <c r="N21" s="55"/>
      <c r="O21" s="63">
        <f t="shared" si="4"/>
        <v>11.894133877038456</v>
      </c>
      <c r="P21" s="55"/>
      <c r="Q21" s="59">
        <f t="shared" si="5"/>
        <v>16.759142716150212</v>
      </c>
    </row>
    <row r="22" spans="1:17" ht="14.25">
      <c r="A22" s="55">
        <v>10</v>
      </c>
      <c r="B22" s="55"/>
      <c r="C22" s="55">
        <v>2027</v>
      </c>
      <c r="D22" s="55"/>
      <c r="E22" s="62">
        <f t="shared" si="0"/>
        <v>16640</v>
      </c>
      <c r="F22" s="55"/>
      <c r="G22" s="55">
        <v>208</v>
      </c>
      <c r="H22" s="55"/>
      <c r="I22" s="56">
        <f t="shared" si="1"/>
        <v>249600</v>
      </c>
      <c r="J22" s="55"/>
      <c r="K22" s="107">
        <f t="shared" si="2"/>
        <v>0.0002496</v>
      </c>
      <c r="L22" s="55"/>
      <c r="M22" s="63">
        <f t="shared" si="3"/>
        <v>22.7415552</v>
      </c>
      <c r="N22" s="55"/>
      <c r="O22" s="63">
        <f t="shared" si="4"/>
        <v>11.560653487962611</v>
      </c>
      <c r="P22" s="55"/>
      <c r="Q22" s="59">
        <f t="shared" si="5"/>
        <v>16.92185283960798</v>
      </c>
    </row>
    <row r="23" spans="1:17" ht="14.25">
      <c r="A23" s="55">
        <v>11</v>
      </c>
      <c r="B23" s="55"/>
      <c r="C23" s="55">
        <v>2028</v>
      </c>
      <c r="D23" s="55"/>
      <c r="E23" s="62">
        <f t="shared" si="0"/>
        <v>17280</v>
      </c>
      <c r="F23" s="55"/>
      <c r="G23" s="55">
        <v>216</v>
      </c>
      <c r="H23" s="55"/>
      <c r="I23" s="56">
        <f t="shared" si="1"/>
        <v>259200</v>
      </c>
      <c r="J23" s="55"/>
      <c r="K23" s="107">
        <f t="shared" si="2"/>
        <v>0.0002592</v>
      </c>
      <c r="L23" s="55"/>
      <c r="M23" s="63">
        <f t="shared" si="3"/>
        <v>23.616230400000003</v>
      </c>
      <c r="N23" s="55"/>
      <c r="O23" s="63">
        <f t="shared" si="4"/>
        <v>11.219900940869536</v>
      </c>
      <c r="P23" s="55"/>
      <c r="Q23" s="59">
        <f t="shared" si="5"/>
        <v>17.060867314018502</v>
      </c>
    </row>
    <row r="24" spans="1:17" ht="14.25">
      <c r="A24" s="55">
        <v>12</v>
      </c>
      <c r="B24" s="55"/>
      <c r="C24" s="55">
        <v>2029</v>
      </c>
      <c r="D24" s="55"/>
      <c r="E24" s="62">
        <f t="shared" si="0"/>
        <v>17280</v>
      </c>
      <c r="F24" s="55"/>
      <c r="G24" s="55">
        <v>216</v>
      </c>
      <c r="H24" s="55"/>
      <c r="I24" s="56">
        <f t="shared" si="1"/>
        <v>259200</v>
      </c>
      <c r="J24" s="55"/>
      <c r="K24" s="107">
        <f t="shared" si="2"/>
        <v>0.0002592</v>
      </c>
      <c r="L24" s="55"/>
      <c r="M24" s="63">
        <f t="shared" si="3"/>
        <v>23.616230400000003</v>
      </c>
      <c r="N24" s="55"/>
      <c r="O24" s="63">
        <f t="shared" si="4"/>
        <v>10.485888729784614</v>
      </c>
      <c r="P24" s="55"/>
      <c r="Q24" s="59">
        <f t="shared" si="5"/>
        <v>16.563948848561655</v>
      </c>
    </row>
    <row r="25" spans="1:17" ht="14.25">
      <c r="A25" s="55">
        <v>13</v>
      </c>
      <c r="B25" s="55"/>
      <c r="C25" s="55">
        <v>2030</v>
      </c>
      <c r="D25" s="55"/>
      <c r="E25" s="62">
        <f t="shared" si="0"/>
        <v>17280</v>
      </c>
      <c r="F25" s="55"/>
      <c r="G25" s="55">
        <v>216</v>
      </c>
      <c r="H25" s="55"/>
      <c r="I25" s="56">
        <f t="shared" si="1"/>
        <v>259200</v>
      </c>
      <c r="J25" s="55"/>
      <c r="K25" s="107">
        <f t="shared" si="2"/>
        <v>0.0002592</v>
      </c>
      <c r="L25" s="55"/>
      <c r="M25" s="63">
        <f t="shared" si="3"/>
        <v>23.616230400000003</v>
      </c>
      <c r="N25" s="55"/>
      <c r="O25" s="63">
        <f t="shared" si="4"/>
        <v>9.799896009144499</v>
      </c>
      <c r="P25" s="55"/>
      <c r="Q25" s="59">
        <f t="shared" si="5"/>
        <v>16.081503736467624</v>
      </c>
    </row>
    <row r="26" spans="1:17" ht="14.25">
      <c r="A26" s="55">
        <v>14</v>
      </c>
      <c r="B26" s="55"/>
      <c r="C26" s="55">
        <v>2031</v>
      </c>
      <c r="D26" s="55"/>
      <c r="E26" s="62">
        <f t="shared" si="0"/>
        <v>17280</v>
      </c>
      <c r="F26" s="55"/>
      <c r="G26" s="55">
        <v>216</v>
      </c>
      <c r="H26" s="55"/>
      <c r="I26" s="56">
        <f t="shared" si="1"/>
        <v>259200</v>
      </c>
      <c r="J26" s="55"/>
      <c r="K26" s="107">
        <f t="shared" si="2"/>
        <v>0.0002592</v>
      </c>
      <c r="L26" s="55"/>
      <c r="M26" s="63">
        <f t="shared" si="3"/>
        <v>23.616230400000003</v>
      </c>
      <c r="N26" s="55"/>
      <c r="O26" s="63">
        <f t="shared" si="4"/>
        <v>9.158781316957477</v>
      </c>
      <c r="P26" s="55"/>
      <c r="Q26" s="59">
        <f t="shared" si="5"/>
        <v>15.613110423754975</v>
      </c>
    </row>
    <row r="27" spans="1:17" ht="14.25">
      <c r="A27" s="55">
        <v>15</v>
      </c>
      <c r="B27" s="55"/>
      <c r="C27" s="55">
        <v>2032</v>
      </c>
      <c r="D27" s="55"/>
      <c r="E27" s="62">
        <f t="shared" si="0"/>
        <v>17920</v>
      </c>
      <c r="F27" s="55"/>
      <c r="G27" s="55">
        <v>224</v>
      </c>
      <c r="H27" s="55"/>
      <c r="I27" s="56">
        <f t="shared" si="1"/>
        <v>268800</v>
      </c>
      <c r="J27" s="55"/>
      <c r="K27" s="107">
        <f t="shared" si="2"/>
        <v>0.0002688</v>
      </c>
      <c r="L27" s="55"/>
      <c r="M27" s="63">
        <f t="shared" si="3"/>
        <v>24.490905599999998</v>
      </c>
      <c r="N27" s="55"/>
      <c r="O27" s="63">
        <f t="shared" si="4"/>
        <v>8.876631252156775</v>
      </c>
      <c r="P27" s="55"/>
      <c r="Q27" s="59">
        <f t="shared" si="5"/>
        <v>15.719780361925178</v>
      </c>
    </row>
    <row r="28" spans="1:17" ht="14.25">
      <c r="A28" s="55">
        <v>16</v>
      </c>
      <c r="B28" s="55"/>
      <c r="C28" s="55">
        <v>2033</v>
      </c>
      <c r="D28" s="55"/>
      <c r="E28" s="62">
        <f t="shared" si="0"/>
        <v>17920</v>
      </c>
      <c r="F28" s="55"/>
      <c r="G28" s="55">
        <v>224</v>
      </c>
      <c r="H28" s="55"/>
      <c r="I28" s="56">
        <f t="shared" si="1"/>
        <v>268800</v>
      </c>
      <c r="J28" s="55"/>
      <c r="K28" s="107">
        <f t="shared" si="2"/>
        <v>0.0002688</v>
      </c>
      <c r="L28" s="55"/>
      <c r="M28" s="63">
        <f t="shared" si="3"/>
        <v>24.490905599999998</v>
      </c>
      <c r="N28" s="55"/>
      <c r="O28" s="63">
        <f t="shared" si="4"/>
        <v>8.295917058090446</v>
      </c>
      <c r="P28" s="55"/>
      <c r="Q28" s="59">
        <f t="shared" si="5"/>
        <v>15.261922681480756</v>
      </c>
    </row>
    <row r="29" spans="1:17" ht="14.25">
      <c r="A29" s="55">
        <v>17</v>
      </c>
      <c r="B29" s="55"/>
      <c r="C29" s="55">
        <v>2034</v>
      </c>
      <c r="D29" s="55"/>
      <c r="E29" s="62">
        <f>SUM(80*G29)</f>
        <v>17920</v>
      </c>
      <c r="F29" s="55"/>
      <c r="G29" s="55">
        <v>224</v>
      </c>
      <c r="H29" s="55"/>
      <c r="I29" s="56">
        <f t="shared" si="1"/>
        <v>268800</v>
      </c>
      <c r="J29" s="55"/>
      <c r="K29" s="107">
        <f t="shared" si="2"/>
        <v>0.0002688</v>
      </c>
      <c r="L29" s="55"/>
      <c r="M29" s="63">
        <f t="shared" si="3"/>
        <v>24.490905599999998</v>
      </c>
      <c r="N29" s="55"/>
      <c r="O29" s="63">
        <f t="shared" si="4"/>
        <v>7.753193512234061</v>
      </c>
      <c r="P29" s="55"/>
      <c r="Q29" s="59">
        <f t="shared" si="5"/>
        <v>14.817400661631803</v>
      </c>
    </row>
    <row r="30" spans="1:17" ht="14.25">
      <c r="A30" s="55">
        <v>18</v>
      </c>
      <c r="B30" s="55"/>
      <c r="C30" s="55">
        <v>2035</v>
      </c>
      <c r="D30" s="55"/>
      <c r="E30" s="62">
        <f t="shared" si="0"/>
        <v>18480</v>
      </c>
      <c r="F30" s="55"/>
      <c r="G30" s="55">
        <v>231</v>
      </c>
      <c r="H30" s="55"/>
      <c r="I30" s="56">
        <f t="shared" si="1"/>
        <v>277200</v>
      </c>
      <c r="J30" s="55"/>
      <c r="K30" s="107">
        <f t="shared" si="2"/>
        <v>0.0002772</v>
      </c>
      <c r="L30" s="55"/>
      <c r="M30" s="63">
        <f t="shared" si="3"/>
        <v>25.256246400000002</v>
      </c>
      <c r="N30" s="55"/>
      <c r="O30" s="63">
        <f t="shared" si="4"/>
        <v>7.4724119714872685</v>
      </c>
      <c r="P30" s="55"/>
      <c r="Q30" s="59">
        <f t="shared" si="5"/>
        <v>14.835382943988154</v>
      </c>
    </row>
    <row r="31" spans="1:17" ht="14.25">
      <c r="A31" s="55">
        <v>19</v>
      </c>
      <c r="B31" s="55"/>
      <c r="C31" s="55">
        <v>2036</v>
      </c>
      <c r="D31" s="55"/>
      <c r="E31" s="62">
        <f t="shared" si="0"/>
        <v>18480</v>
      </c>
      <c r="F31" s="55"/>
      <c r="G31" s="55">
        <v>231</v>
      </c>
      <c r="H31" s="55"/>
      <c r="I31" s="56">
        <f t="shared" si="1"/>
        <v>277200</v>
      </c>
      <c r="J31" s="55"/>
      <c r="K31" s="107">
        <f t="shared" si="2"/>
        <v>0.0002772</v>
      </c>
      <c r="L31" s="55"/>
      <c r="M31" s="63">
        <f t="shared" si="3"/>
        <v>25.256246400000002</v>
      </c>
      <c r="N31" s="55"/>
      <c r="O31" s="63">
        <f t="shared" si="4"/>
        <v>6.9835625901750165</v>
      </c>
      <c r="P31" s="55"/>
      <c r="Q31" s="59">
        <f t="shared" si="5"/>
        <v>14.403284411638985</v>
      </c>
    </row>
    <row r="32" spans="1:17" ht="14.25">
      <c r="A32" s="55">
        <v>20</v>
      </c>
      <c r="B32" s="55"/>
      <c r="C32" s="55">
        <v>2037</v>
      </c>
      <c r="D32" s="55"/>
      <c r="E32" s="114">
        <f t="shared" si="0"/>
        <v>18480</v>
      </c>
      <c r="F32" s="61"/>
      <c r="G32" s="61">
        <v>231</v>
      </c>
      <c r="H32" s="61"/>
      <c r="I32" s="64">
        <f t="shared" si="1"/>
        <v>277200</v>
      </c>
      <c r="J32" s="61"/>
      <c r="K32" s="108">
        <f t="shared" si="2"/>
        <v>0.0002772</v>
      </c>
      <c r="L32" s="61"/>
      <c r="M32" s="65">
        <f t="shared" si="3"/>
        <v>25.256246400000002</v>
      </c>
      <c r="N32" s="61"/>
      <c r="O32" s="65">
        <f t="shared" si="4"/>
        <v>6.526694009509361</v>
      </c>
      <c r="P32" s="61"/>
      <c r="Q32" s="60">
        <f t="shared" si="5"/>
        <v>13.983771273435908</v>
      </c>
    </row>
    <row r="33" spans="1:17" ht="14.25">
      <c r="A33" s="55"/>
      <c r="B33" s="55"/>
      <c r="C33" s="55"/>
      <c r="D33" s="55"/>
      <c r="E33" s="62"/>
      <c r="F33" s="55"/>
      <c r="G33" s="55"/>
      <c r="H33" s="55"/>
      <c r="I33" s="56"/>
      <c r="J33" s="55"/>
      <c r="K33" s="55"/>
      <c r="L33" s="55"/>
      <c r="M33" s="63"/>
      <c r="N33" s="55"/>
      <c r="O33" s="63"/>
      <c r="P33" s="55"/>
      <c r="Q33" s="59"/>
    </row>
    <row r="34" spans="1:17" ht="15" thickBot="1">
      <c r="A34" s="55"/>
      <c r="B34" s="55"/>
      <c r="C34" s="55"/>
      <c r="D34" s="55"/>
      <c r="E34" s="62"/>
      <c r="F34" s="55"/>
      <c r="G34" s="55"/>
      <c r="H34" s="55"/>
      <c r="I34" s="56"/>
      <c r="J34" s="55"/>
      <c r="K34" s="55"/>
      <c r="L34" s="55"/>
      <c r="M34" s="109">
        <f>SUM(M13:M32)</f>
        <v>415.1427168000001</v>
      </c>
      <c r="N34" s="109">
        <f>SUM(N13:N32)</f>
        <v>0</v>
      </c>
      <c r="O34" s="109">
        <f>SUM(O13:O32)</f>
        <v>200.33493865144217</v>
      </c>
      <c r="P34" s="109">
        <f>SUM(P13:P32)</f>
        <v>0</v>
      </c>
      <c r="Q34" s="109">
        <f>SUM(Q13:Q32)</f>
        <v>297.05621550148226</v>
      </c>
    </row>
    <row r="35" spans="3:5" ht="15" thickTop="1">
      <c r="C35" s="35" t="s">
        <v>25</v>
      </c>
      <c r="D35" s="10"/>
      <c r="E35" s="36"/>
    </row>
    <row r="36" spans="3:17" ht="28.5" customHeight="1">
      <c r="C36" s="183" t="s">
        <v>26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</row>
    <row r="37" ht="14.25">
      <c r="C37" s="11" t="s">
        <v>27</v>
      </c>
    </row>
    <row r="38" spans="3:17" ht="30" customHeight="1">
      <c r="C38" s="183" t="s">
        <v>123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</row>
    <row r="39" ht="14.25">
      <c r="C39" s="11" t="s">
        <v>165</v>
      </c>
    </row>
    <row r="40" ht="14.25">
      <c r="C40" s="11" t="s">
        <v>9</v>
      </c>
    </row>
    <row r="41" ht="14.25">
      <c r="C41" s="11" t="s">
        <v>28</v>
      </c>
    </row>
    <row r="42" spans="3:17" ht="30" customHeight="1">
      <c r="C42" s="183" t="s">
        <v>29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</row>
  </sheetData>
  <sheetProtection/>
  <mergeCells count="12">
    <mergeCell ref="C42:Q42"/>
    <mergeCell ref="O7:O11"/>
    <mergeCell ref="Q7:Q11"/>
    <mergeCell ref="I8:I11"/>
    <mergeCell ref="A10:A11"/>
    <mergeCell ref="C10:C11"/>
    <mergeCell ref="E8:E11"/>
    <mergeCell ref="G8:G11"/>
    <mergeCell ref="C38:Q38"/>
    <mergeCell ref="M6:M11"/>
    <mergeCell ref="K5:K11"/>
    <mergeCell ref="C36:Q3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C11" sqref="C11:C30"/>
    </sheetView>
  </sheetViews>
  <sheetFormatPr defaultColWidth="9.140625" defaultRowHeight="15"/>
  <cols>
    <col min="2" max="2" width="3.8515625" style="0" customWidth="1"/>
    <col min="4" max="4" width="5.140625" style="0" customWidth="1"/>
    <col min="6" max="6" width="11.8515625" style="14" customWidth="1"/>
    <col min="7" max="7" width="6.28125" style="0" customWidth="1"/>
    <col min="8" max="8" width="11.421875" style="14" customWidth="1"/>
    <col min="9" max="9" width="5.421875" style="0" customWidth="1"/>
    <col min="10" max="10" width="11.28125" style="14" customWidth="1"/>
    <col min="11" max="11" width="3.140625" style="0" customWidth="1"/>
  </cols>
  <sheetData>
    <row r="1" ht="23.25">
      <c r="A1" s="2" t="s">
        <v>0</v>
      </c>
    </row>
    <row r="2" ht="14.25">
      <c r="A2" t="s">
        <v>172</v>
      </c>
    </row>
    <row r="3" ht="14.25">
      <c r="A3" s="1" t="s">
        <v>11</v>
      </c>
    </row>
    <row r="5" spans="1:10" ht="14.25">
      <c r="A5" s="3"/>
      <c r="B5" s="4"/>
      <c r="C5" s="4"/>
      <c r="D5" s="4"/>
      <c r="E5" s="4"/>
      <c r="F5" s="15"/>
      <c r="G5" s="4"/>
      <c r="H5" s="168" t="s">
        <v>18</v>
      </c>
      <c r="I5" s="5"/>
      <c r="J5" s="168" t="s">
        <v>17</v>
      </c>
    </row>
    <row r="6" spans="1:10" ht="14.25">
      <c r="A6" s="4"/>
      <c r="B6" s="4"/>
      <c r="C6" s="4"/>
      <c r="D6" s="4"/>
      <c r="E6" s="4"/>
      <c r="F6" s="168" t="s">
        <v>13</v>
      </c>
      <c r="G6" s="6"/>
      <c r="H6" s="168"/>
      <c r="I6" s="5"/>
      <c r="J6" s="168"/>
    </row>
    <row r="7" spans="1:10" ht="14.25">
      <c r="A7" s="4"/>
      <c r="B7" s="4"/>
      <c r="C7" s="4"/>
      <c r="D7" s="4"/>
      <c r="E7" s="4"/>
      <c r="F7" s="168"/>
      <c r="G7" s="6"/>
      <c r="H7" s="168"/>
      <c r="I7" s="5"/>
      <c r="J7" s="168"/>
    </row>
    <row r="8" spans="1:10" ht="14.25">
      <c r="A8" s="161" t="s">
        <v>12</v>
      </c>
      <c r="B8" s="4"/>
      <c r="C8" s="161" t="s">
        <v>3</v>
      </c>
      <c r="D8" s="4"/>
      <c r="E8" s="4"/>
      <c r="F8" s="168"/>
      <c r="G8" s="6"/>
      <c r="H8" s="168"/>
      <c r="I8" s="5"/>
      <c r="J8" s="168"/>
    </row>
    <row r="9" spans="1:10" ht="15" thickBot="1">
      <c r="A9" s="162"/>
      <c r="B9" s="7"/>
      <c r="C9" s="162"/>
      <c r="D9" s="7"/>
      <c r="E9" s="7"/>
      <c r="F9" s="169"/>
      <c r="G9" s="8"/>
      <c r="H9" s="169"/>
      <c r="I9" s="9"/>
      <c r="J9" s="169"/>
    </row>
    <row r="11" spans="1:10" ht="14.25">
      <c r="A11" s="55">
        <v>1</v>
      </c>
      <c r="B11" s="55"/>
      <c r="C11" s="55">
        <v>2018</v>
      </c>
      <c r="D11" s="55"/>
      <c r="E11" s="55"/>
      <c r="F11" s="66">
        <v>39000</v>
      </c>
      <c r="G11" s="55"/>
      <c r="H11" s="66">
        <f>SUM(F11/(1.07)^A11)</f>
        <v>36448.59813084112</v>
      </c>
      <c r="I11" s="55"/>
      <c r="J11" s="66">
        <f>SUM(F11/(1.03)^A11)</f>
        <v>37864.07766990291</v>
      </c>
    </row>
    <row r="12" spans="1:10" ht="14.25">
      <c r="A12" s="55">
        <v>2</v>
      </c>
      <c r="B12" s="55"/>
      <c r="C12" s="55">
        <v>2019</v>
      </c>
      <c r="D12" s="55"/>
      <c r="E12" s="55"/>
      <c r="F12" s="66">
        <v>41000</v>
      </c>
      <c r="G12" s="55"/>
      <c r="H12" s="66">
        <f>SUM(F12/(1.07)^A12)</f>
        <v>35810.987859201676</v>
      </c>
      <c r="I12" s="55"/>
      <c r="J12" s="66">
        <f aca="true" t="shared" si="0" ref="J12:J30">SUM(F12/(1.03)^A12)</f>
        <v>38646.43227448393</v>
      </c>
    </row>
    <row r="13" spans="1:10" ht="14.25">
      <c r="A13" s="55">
        <v>3</v>
      </c>
      <c r="B13" s="55"/>
      <c r="C13" s="55">
        <v>2020</v>
      </c>
      <c r="D13" s="55"/>
      <c r="E13" s="55"/>
      <c r="F13" s="66">
        <v>44000</v>
      </c>
      <c r="G13" s="55"/>
      <c r="H13" s="66">
        <f aca="true" t="shared" si="1" ref="H13:H30">SUM(F13/(1.07)^A13)</f>
        <v>35917.106583197485</v>
      </c>
      <c r="I13" s="55"/>
      <c r="J13" s="66">
        <f t="shared" si="0"/>
        <v>40266.23301153902</v>
      </c>
    </row>
    <row r="14" spans="1:10" ht="14.25">
      <c r="A14" s="55">
        <v>4</v>
      </c>
      <c r="B14" s="55"/>
      <c r="C14" s="55">
        <v>2021</v>
      </c>
      <c r="D14" s="55"/>
      <c r="E14" s="55"/>
      <c r="F14" s="66">
        <v>46000</v>
      </c>
      <c r="G14" s="55"/>
      <c r="H14" s="66">
        <f t="shared" si="1"/>
        <v>35093.17975418616</v>
      </c>
      <c r="I14" s="55"/>
      <c r="J14" s="66">
        <f t="shared" si="0"/>
        <v>40870.404204121696</v>
      </c>
    </row>
    <row r="15" spans="1:10" ht="14.25">
      <c r="A15" s="55">
        <v>5</v>
      </c>
      <c r="B15" s="55"/>
      <c r="C15" s="55">
        <v>2022</v>
      </c>
      <c r="D15" s="55"/>
      <c r="E15" s="55"/>
      <c r="F15" s="66">
        <v>48000</v>
      </c>
      <c r="G15" s="55"/>
      <c r="H15" s="66">
        <f t="shared" si="1"/>
        <v>34223.33661521608</v>
      </c>
      <c r="I15" s="55"/>
      <c r="J15" s="66">
        <f t="shared" si="0"/>
        <v>41405.221650439875</v>
      </c>
    </row>
    <row r="16" spans="1:10" ht="14.25">
      <c r="A16" s="55">
        <v>6</v>
      </c>
      <c r="B16" s="55"/>
      <c r="C16" s="55">
        <v>2023</v>
      </c>
      <c r="D16" s="55"/>
      <c r="E16" s="55"/>
      <c r="F16" s="66">
        <v>51000</v>
      </c>
      <c r="G16" s="55"/>
      <c r="H16" s="66">
        <f t="shared" si="1"/>
        <v>33983.45341464214</v>
      </c>
      <c r="I16" s="55"/>
      <c r="J16" s="66">
        <f t="shared" si="0"/>
        <v>42711.69709086638</v>
      </c>
    </row>
    <row r="17" spans="1:10" ht="14.25">
      <c r="A17" s="55">
        <v>7</v>
      </c>
      <c r="B17" s="55"/>
      <c r="C17" s="55">
        <v>2024</v>
      </c>
      <c r="D17" s="55"/>
      <c r="E17" s="55"/>
      <c r="F17" s="66">
        <v>51000</v>
      </c>
      <c r="G17" s="55"/>
      <c r="H17" s="66">
        <f t="shared" si="1"/>
        <v>31760.236836114145</v>
      </c>
      <c r="I17" s="55"/>
      <c r="J17" s="66">
        <f t="shared" si="0"/>
        <v>41467.66707851104</v>
      </c>
    </row>
    <row r="18" spans="1:10" ht="14.25">
      <c r="A18" s="55">
        <v>8</v>
      </c>
      <c r="B18" s="55"/>
      <c r="C18" s="55">
        <v>2025</v>
      </c>
      <c r="D18" s="55"/>
      <c r="E18" s="55"/>
      <c r="F18" s="66">
        <v>51000</v>
      </c>
      <c r="G18" s="55"/>
      <c r="H18" s="66">
        <f t="shared" si="1"/>
        <v>29682.46433281696</v>
      </c>
      <c r="I18" s="55"/>
      <c r="J18" s="66">
        <f t="shared" si="0"/>
        <v>40259.87095001072</v>
      </c>
    </row>
    <row r="19" spans="1:10" ht="14.25">
      <c r="A19" s="55">
        <v>9</v>
      </c>
      <c r="B19" s="55"/>
      <c r="C19" s="55">
        <v>2026</v>
      </c>
      <c r="D19" s="55"/>
      <c r="E19" s="55"/>
      <c r="F19" s="66">
        <v>51000</v>
      </c>
      <c r="G19" s="55"/>
      <c r="H19" s="66">
        <f t="shared" si="1"/>
        <v>27740.620871791547</v>
      </c>
      <c r="I19" s="55"/>
      <c r="J19" s="66">
        <f t="shared" si="0"/>
        <v>39087.25334952497</v>
      </c>
    </row>
    <row r="20" spans="1:10" ht="14.25">
      <c r="A20" s="55">
        <v>10</v>
      </c>
      <c r="B20" s="55"/>
      <c r="C20" s="55">
        <v>2027</v>
      </c>
      <c r="D20" s="55"/>
      <c r="E20" s="55"/>
      <c r="F20" s="66">
        <v>51000</v>
      </c>
      <c r="G20" s="55"/>
      <c r="H20" s="66">
        <f t="shared" si="1"/>
        <v>25925.81389887061</v>
      </c>
      <c r="I20" s="55"/>
      <c r="J20" s="66">
        <f t="shared" si="0"/>
        <v>37948.78965973298</v>
      </c>
    </row>
    <row r="21" spans="1:10" ht="14.25">
      <c r="A21" s="55">
        <v>11</v>
      </c>
      <c r="B21" s="55"/>
      <c r="C21" s="55">
        <v>2028</v>
      </c>
      <c r="D21" s="55"/>
      <c r="E21" s="55"/>
      <c r="F21" s="66">
        <v>59000</v>
      </c>
      <c r="G21" s="55"/>
      <c r="H21" s="66">
        <f t="shared" si="1"/>
        <v>28030.47498686761</v>
      </c>
      <c r="I21" s="55"/>
      <c r="J21" s="66">
        <f t="shared" si="0"/>
        <v>42622.855319326976</v>
      </c>
    </row>
    <row r="22" spans="1:10" ht="14.25">
      <c r="A22" s="55">
        <v>12</v>
      </c>
      <c r="B22" s="55"/>
      <c r="C22" s="55">
        <v>2029</v>
      </c>
      <c r="D22" s="55"/>
      <c r="E22" s="55"/>
      <c r="F22" s="66">
        <v>59000</v>
      </c>
      <c r="G22" s="55"/>
      <c r="H22" s="66">
        <f t="shared" si="1"/>
        <v>26196.70559520338</v>
      </c>
      <c r="I22" s="55"/>
      <c r="J22" s="66">
        <f t="shared" si="0"/>
        <v>41381.41293138542</v>
      </c>
    </row>
    <row r="23" spans="1:10" ht="14.25">
      <c r="A23" s="55">
        <v>13</v>
      </c>
      <c r="B23" s="55"/>
      <c r="C23" s="55">
        <v>2030</v>
      </c>
      <c r="D23" s="55"/>
      <c r="E23" s="55"/>
      <c r="F23" s="66">
        <v>59000</v>
      </c>
      <c r="G23" s="55"/>
      <c r="H23" s="66">
        <f t="shared" si="1"/>
        <v>24482.90242542372</v>
      </c>
      <c r="I23" s="55"/>
      <c r="J23" s="66">
        <f t="shared" si="0"/>
        <v>40176.12905959749</v>
      </c>
    </row>
    <row r="24" spans="1:10" ht="14.25">
      <c r="A24" s="55">
        <v>14</v>
      </c>
      <c r="B24" s="55"/>
      <c r="C24" s="55">
        <v>2031</v>
      </c>
      <c r="D24" s="55"/>
      <c r="E24" s="55"/>
      <c r="F24" s="66">
        <v>59000</v>
      </c>
      <c r="G24" s="55"/>
      <c r="H24" s="66">
        <f t="shared" si="1"/>
        <v>22881.21722002217</v>
      </c>
      <c r="I24" s="55"/>
      <c r="J24" s="66">
        <f t="shared" si="0"/>
        <v>39005.95054329854</v>
      </c>
    </row>
    <row r="25" spans="1:10" ht="14.25">
      <c r="A25" s="55">
        <v>15</v>
      </c>
      <c r="B25" s="55"/>
      <c r="C25" s="55">
        <v>2032</v>
      </c>
      <c r="D25" s="55"/>
      <c r="E25" s="55"/>
      <c r="F25" s="66">
        <v>59000</v>
      </c>
      <c r="G25" s="55"/>
      <c r="H25" s="66">
        <f t="shared" si="1"/>
        <v>21384.315158899222</v>
      </c>
      <c r="I25" s="55"/>
      <c r="J25" s="66">
        <f t="shared" si="0"/>
        <v>37869.854896406345</v>
      </c>
    </row>
    <row r="26" spans="1:10" ht="14.25">
      <c r="A26" s="55">
        <v>16</v>
      </c>
      <c r="B26" s="55"/>
      <c r="C26" s="55">
        <v>2033</v>
      </c>
      <c r="D26" s="55"/>
      <c r="E26" s="55"/>
      <c r="F26" s="66">
        <v>67000</v>
      </c>
      <c r="G26" s="55"/>
      <c r="H26" s="66">
        <f t="shared" si="1"/>
        <v>22695.218052372056</v>
      </c>
      <c r="I26" s="55"/>
      <c r="J26" s="66">
        <f t="shared" si="0"/>
        <v>41752.184927747665</v>
      </c>
    </row>
    <row r="27" spans="1:10" ht="14.25">
      <c r="A27" s="55">
        <v>17</v>
      </c>
      <c r="B27" s="55"/>
      <c r="C27" s="55">
        <v>2034</v>
      </c>
      <c r="D27" s="55"/>
      <c r="E27" s="55"/>
      <c r="F27" s="66">
        <v>67000</v>
      </c>
      <c r="G27" s="55"/>
      <c r="H27" s="66">
        <f t="shared" si="1"/>
        <v>21210.48416109538</v>
      </c>
      <c r="I27" s="55"/>
      <c r="J27" s="66">
        <f t="shared" si="0"/>
        <v>40536.10187159967</v>
      </c>
    </row>
    <row r="28" spans="1:10" ht="14.25">
      <c r="A28" s="55">
        <v>18</v>
      </c>
      <c r="B28" s="55"/>
      <c r="C28" s="55">
        <v>2035</v>
      </c>
      <c r="D28" s="55"/>
      <c r="E28" s="55"/>
      <c r="F28" s="66">
        <v>67000</v>
      </c>
      <c r="G28" s="55"/>
      <c r="H28" s="66">
        <f t="shared" si="1"/>
        <v>19822.882393547083</v>
      </c>
      <c r="I28" s="55"/>
      <c r="J28" s="66">
        <f t="shared" si="0"/>
        <v>39355.438710290946</v>
      </c>
    </row>
    <row r="29" spans="1:10" ht="14.25">
      <c r="A29" s="55">
        <v>19</v>
      </c>
      <c r="B29" s="55"/>
      <c r="C29" s="55">
        <v>2036</v>
      </c>
      <c r="D29" s="55"/>
      <c r="E29" s="55"/>
      <c r="F29" s="66">
        <v>67000</v>
      </c>
      <c r="G29" s="55"/>
      <c r="H29" s="66">
        <f t="shared" si="1"/>
        <v>18526.058311726247</v>
      </c>
      <c r="I29" s="55"/>
      <c r="J29" s="66">
        <f t="shared" si="0"/>
        <v>38209.16379639898</v>
      </c>
    </row>
    <row r="30" spans="1:10" ht="14.25">
      <c r="A30" s="55">
        <v>20</v>
      </c>
      <c r="B30" s="55"/>
      <c r="C30" s="55">
        <v>2037</v>
      </c>
      <c r="D30" s="55"/>
      <c r="E30" s="55"/>
      <c r="F30" s="67">
        <v>67000</v>
      </c>
      <c r="G30" s="61"/>
      <c r="H30" s="67">
        <f t="shared" si="1"/>
        <v>17314.073188529204</v>
      </c>
      <c r="I30" s="61"/>
      <c r="J30" s="67">
        <f t="shared" si="0"/>
        <v>37096.27553048444</v>
      </c>
    </row>
    <row r="31" spans="1:10" ht="14.25">
      <c r="A31" s="55"/>
      <c r="B31" s="55"/>
      <c r="C31" s="55"/>
      <c r="D31" s="55"/>
      <c r="E31" s="55"/>
      <c r="F31" s="66"/>
      <c r="G31" s="55"/>
      <c r="H31" s="66"/>
      <c r="I31" s="55"/>
      <c r="J31" s="66"/>
    </row>
    <row r="32" spans="1:10" ht="15" thickBot="1">
      <c r="A32" s="55"/>
      <c r="B32" s="55"/>
      <c r="C32" s="55"/>
      <c r="D32" s="55"/>
      <c r="E32" s="55"/>
      <c r="F32" s="109">
        <f>SUM(F11:F30)</f>
        <v>1103000</v>
      </c>
      <c r="G32" s="68"/>
      <c r="H32" s="109">
        <f>SUM(H11:H30)</f>
        <v>549130.1297905641</v>
      </c>
      <c r="I32" s="68"/>
      <c r="J32" s="109">
        <f>SUM(J11:J30)</f>
        <v>798533.01452567</v>
      </c>
    </row>
    <row r="33" ht="15" thickTop="1"/>
    <row r="35" spans="3:4" ht="14.25">
      <c r="C35" s="186" t="s">
        <v>7</v>
      </c>
      <c r="D35" s="186"/>
    </row>
    <row r="36" ht="14.25">
      <c r="C36" s="11" t="s">
        <v>14</v>
      </c>
    </row>
    <row r="37" ht="14.25">
      <c r="C37" s="11" t="s">
        <v>15</v>
      </c>
    </row>
    <row r="38" spans="3:10" ht="47.25" customHeight="1">
      <c r="C38" s="183" t="s">
        <v>166</v>
      </c>
      <c r="D38" s="183"/>
      <c r="E38" s="183"/>
      <c r="F38" s="183"/>
      <c r="G38" s="183"/>
      <c r="H38" s="183"/>
      <c r="I38" s="183"/>
      <c r="J38" s="183"/>
    </row>
    <row r="39" spans="3:10" ht="31.5" customHeight="1">
      <c r="C39" s="183" t="s">
        <v>16</v>
      </c>
      <c r="D39" s="183"/>
      <c r="E39" s="183"/>
      <c r="F39" s="183"/>
      <c r="G39" s="183"/>
      <c r="H39" s="183"/>
      <c r="I39" s="183"/>
      <c r="J39" s="183"/>
    </row>
  </sheetData>
  <sheetProtection/>
  <mergeCells count="8">
    <mergeCell ref="C38:J38"/>
    <mergeCell ref="C39:J39"/>
    <mergeCell ref="H5:H9"/>
    <mergeCell ref="J5:J9"/>
    <mergeCell ref="F6:F9"/>
    <mergeCell ref="A8:A9"/>
    <mergeCell ref="C8:C9"/>
    <mergeCell ref="C35:D3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10.8515625" style="0" bestFit="1" customWidth="1"/>
    <col min="4" max="4" width="2.00390625" style="0" customWidth="1"/>
    <col min="6" max="6" width="10.57421875" style="0" customWidth="1"/>
    <col min="7" max="7" width="5.421875" style="0" customWidth="1"/>
    <col min="8" max="8" width="11.8515625" style="37" customWidth="1"/>
    <col min="9" max="9" width="5.8515625" style="0" customWidth="1"/>
    <col min="10" max="10" width="10.140625" style="0" customWidth="1"/>
  </cols>
  <sheetData>
    <row r="1" ht="23.25">
      <c r="A1" s="2" t="s">
        <v>0</v>
      </c>
    </row>
    <row r="2" ht="14.25">
      <c r="A2" t="s">
        <v>172</v>
      </c>
    </row>
    <row r="3" ht="14.25">
      <c r="A3" s="1" t="s">
        <v>1</v>
      </c>
    </row>
    <row r="6" spans="1:10" ht="14.25">
      <c r="A6" s="3"/>
      <c r="B6" s="4"/>
      <c r="C6" s="4"/>
      <c r="D6" s="4"/>
      <c r="E6" s="4"/>
      <c r="F6" s="4"/>
      <c r="G6" s="4"/>
      <c r="H6" s="170" t="s">
        <v>5</v>
      </c>
      <c r="I6" s="5"/>
      <c r="J6" s="161" t="s">
        <v>6</v>
      </c>
    </row>
    <row r="7" spans="1:10" ht="14.25">
      <c r="A7" s="4"/>
      <c r="B7" s="4"/>
      <c r="C7" s="4"/>
      <c r="D7" s="4"/>
      <c r="E7" s="4"/>
      <c r="F7" s="161" t="s">
        <v>4</v>
      </c>
      <c r="G7" s="6"/>
      <c r="H7" s="170"/>
      <c r="I7" s="5"/>
      <c r="J7" s="161"/>
    </row>
    <row r="8" spans="1:10" ht="14.25">
      <c r="A8" s="4"/>
      <c r="B8" s="4"/>
      <c r="C8" s="4"/>
      <c r="D8" s="4"/>
      <c r="E8" s="4"/>
      <c r="F8" s="161"/>
      <c r="G8" s="6"/>
      <c r="H8" s="170"/>
      <c r="I8" s="5"/>
      <c r="J8" s="161"/>
    </row>
    <row r="9" spans="1:10" ht="14.25">
      <c r="A9" s="161" t="s">
        <v>2</v>
      </c>
      <c r="B9" s="4"/>
      <c r="C9" s="161" t="s">
        <v>3</v>
      </c>
      <c r="D9" s="4"/>
      <c r="E9" s="4"/>
      <c r="F9" s="161"/>
      <c r="G9" s="6"/>
      <c r="H9" s="170"/>
      <c r="I9" s="5"/>
      <c r="J9" s="161"/>
    </row>
    <row r="10" spans="1:10" ht="15" thickBot="1">
      <c r="A10" s="162"/>
      <c r="B10" s="7"/>
      <c r="C10" s="162"/>
      <c r="D10" s="7"/>
      <c r="E10" s="7"/>
      <c r="F10" s="162"/>
      <c r="G10" s="8"/>
      <c r="H10" s="167"/>
      <c r="I10" s="9"/>
      <c r="J10" s="162"/>
    </row>
    <row r="11" spans="1:10" ht="14.25">
      <c r="A11" s="3"/>
      <c r="B11" s="3"/>
      <c r="C11" s="3"/>
      <c r="D11" s="3"/>
      <c r="E11" s="3"/>
      <c r="F11" s="3"/>
      <c r="G11" s="3"/>
      <c r="H11" s="57"/>
      <c r="I11" s="3"/>
      <c r="J11" s="3"/>
    </row>
    <row r="12" spans="1:13" ht="15" thickBot="1">
      <c r="A12" s="77">
        <v>20</v>
      </c>
      <c r="B12" s="77"/>
      <c r="C12" s="77">
        <v>2037</v>
      </c>
      <c r="D12" s="3"/>
      <c r="E12" s="3"/>
      <c r="F12" s="110">
        <v>9000000</v>
      </c>
      <c r="G12" s="110"/>
      <c r="H12" s="87">
        <f>SUM(F12/(1.07)^20)</f>
        <v>2325771.025324818</v>
      </c>
      <c r="I12" s="110"/>
      <c r="J12" s="110">
        <f>SUM(F12/(1.03)^20)</f>
        <v>4983081.787677014</v>
      </c>
      <c r="M12" s="111"/>
    </row>
    <row r="13" spans="1:10" ht="14.25">
      <c r="A13" s="3"/>
      <c r="B13" s="3"/>
      <c r="C13" s="3"/>
      <c r="D13" s="3"/>
      <c r="E13" s="3"/>
      <c r="F13" s="79"/>
      <c r="G13" s="79"/>
      <c r="H13" s="70"/>
      <c r="I13" s="79"/>
      <c r="J13" s="79"/>
    </row>
    <row r="14" spans="1:10" ht="15" thickBot="1">
      <c r="A14" s="3"/>
      <c r="B14" s="3"/>
      <c r="C14" s="3"/>
      <c r="D14" s="3"/>
      <c r="E14" s="3"/>
      <c r="F14" s="95">
        <v>9000000</v>
      </c>
      <c r="G14" s="95"/>
      <c r="H14" s="86">
        <f>SUM(F14/(1.07)^20)</f>
        <v>2325771.025324818</v>
      </c>
      <c r="I14" s="95"/>
      <c r="J14" s="95">
        <v>4983081.787677014</v>
      </c>
    </row>
    <row r="15" spans="1:10" ht="15" thickTop="1">
      <c r="A15" s="3"/>
      <c r="B15" s="3"/>
      <c r="C15" s="3"/>
      <c r="D15" s="3"/>
      <c r="E15" s="3"/>
      <c r="F15" s="3"/>
      <c r="G15" s="3"/>
      <c r="H15" s="57"/>
      <c r="I15" s="3"/>
      <c r="J15" s="3"/>
    </row>
    <row r="17" spans="2:4" ht="14.25">
      <c r="B17" s="10" t="s">
        <v>7</v>
      </c>
      <c r="C17" s="10"/>
      <c r="D17" s="10"/>
    </row>
    <row r="18" ht="14.25">
      <c r="C18" s="11" t="s">
        <v>8</v>
      </c>
    </row>
    <row r="19" ht="14.25">
      <c r="C19" s="11" t="s">
        <v>9</v>
      </c>
    </row>
    <row r="20" ht="14.25">
      <c r="C20" s="11" t="s">
        <v>130</v>
      </c>
    </row>
    <row r="21" spans="3:10" ht="30" customHeight="1">
      <c r="C21" s="183" t="s">
        <v>10</v>
      </c>
      <c r="D21" s="183"/>
      <c r="E21" s="183"/>
      <c r="F21" s="183"/>
      <c r="G21" s="183"/>
      <c r="H21" s="183"/>
      <c r="I21" s="183"/>
      <c r="J21" s="183"/>
    </row>
  </sheetData>
  <sheetProtection/>
  <mergeCells count="6">
    <mergeCell ref="F7:F10"/>
    <mergeCell ref="H6:H10"/>
    <mergeCell ref="J6:J10"/>
    <mergeCell ref="A9:A10"/>
    <mergeCell ref="C9:C10"/>
    <mergeCell ref="C21:J2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="120" zoomScaleNormal="120" zoomScalePageLayoutView="0" workbookViewId="0" topLeftCell="A1">
      <selection activeCell="E11" sqref="E11"/>
    </sheetView>
  </sheetViews>
  <sheetFormatPr defaultColWidth="9.140625" defaultRowHeight="15"/>
  <cols>
    <col min="1" max="1" width="3.421875" style="0" customWidth="1"/>
    <col min="2" max="2" width="2.28125" style="0" customWidth="1"/>
    <col min="5" max="5" width="9.140625" style="0" customWidth="1"/>
    <col min="7" max="7" width="16.421875" style="0" customWidth="1"/>
    <col min="8" max="8" width="10.8515625" style="12" customWidth="1"/>
    <col min="9" max="9" width="0.42578125" style="0" customWidth="1"/>
    <col min="10" max="10" width="10.7109375" style="130" customWidth="1"/>
    <col min="11" max="11" width="2.00390625" style="12" customWidth="1"/>
    <col min="12" max="12" width="11.140625" style="130" customWidth="1"/>
    <col min="13" max="13" width="1.1484375" style="0" customWidth="1"/>
    <col min="14" max="14" width="11.00390625" style="130" customWidth="1"/>
  </cols>
  <sheetData>
    <row r="1" ht="23.25">
      <c r="A1" s="2" t="s">
        <v>0</v>
      </c>
    </row>
    <row r="2" ht="14.25">
      <c r="A2" t="s">
        <v>172</v>
      </c>
    </row>
    <row r="3" ht="14.25">
      <c r="A3" s="1" t="s">
        <v>39</v>
      </c>
    </row>
    <row r="4" spans="8:14" s="3" customFormat="1" ht="12">
      <c r="H4" s="159" t="s">
        <v>41</v>
      </c>
      <c r="I4" s="159"/>
      <c r="J4" s="159"/>
      <c r="K4" s="76"/>
      <c r="L4" s="159" t="s">
        <v>42</v>
      </c>
      <c r="M4" s="159"/>
      <c r="N4" s="159"/>
    </row>
    <row r="5" spans="8:14" s="3" customFormat="1" ht="12">
      <c r="H5" s="45"/>
      <c r="J5" s="51"/>
      <c r="K5" s="45"/>
      <c r="L5" s="51"/>
      <c r="N5" s="51"/>
    </row>
    <row r="6" spans="8:14" s="3" customFormat="1" ht="12">
      <c r="H6" s="45"/>
      <c r="J6" s="51"/>
      <c r="K6" s="45"/>
      <c r="L6" s="51"/>
      <c r="N6" s="51"/>
    </row>
    <row r="7" spans="2:14" s="3" customFormat="1" ht="12">
      <c r="B7" s="3" t="s">
        <v>48</v>
      </c>
      <c r="H7" s="45">
        <v>56853108</v>
      </c>
      <c r="J7" s="51"/>
      <c r="K7" s="45"/>
      <c r="L7" s="51">
        <v>84301667</v>
      </c>
      <c r="N7" s="51"/>
    </row>
    <row r="8" spans="2:14" s="3" customFormat="1" ht="12">
      <c r="B8" s="3" t="s">
        <v>57</v>
      </c>
      <c r="H8" s="46">
        <v>-5254636</v>
      </c>
      <c r="I8" s="122"/>
      <c r="J8" s="49"/>
      <c r="K8" s="45"/>
      <c r="L8" s="49">
        <v>-7791564</v>
      </c>
      <c r="M8" s="47"/>
      <c r="N8" s="49"/>
    </row>
    <row r="9" spans="1:14" s="3" customFormat="1" ht="12">
      <c r="A9" s="3">
        <v>1</v>
      </c>
      <c r="C9" s="3" t="s">
        <v>115</v>
      </c>
      <c r="H9" s="45"/>
      <c r="J9" s="51">
        <f>SUM(H7:H8)</f>
        <v>51598472</v>
      </c>
      <c r="K9" s="45"/>
      <c r="L9" s="51"/>
      <c r="N9" s="51">
        <f>SUM(L7:L8)</f>
        <v>76510103</v>
      </c>
    </row>
    <row r="10" spans="8:14" s="3" customFormat="1" ht="12">
      <c r="H10" s="45"/>
      <c r="J10" s="51"/>
      <c r="K10" s="45"/>
      <c r="L10" s="51"/>
      <c r="N10" s="51"/>
    </row>
    <row r="11" spans="2:14" s="3" customFormat="1" ht="12">
      <c r="B11" s="3" t="s">
        <v>68</v>
      </c>
      <c r="H11" s="45">
        <v>117561259</v>
      </c>
      <c r="J11" s="51"/>
      <c r="K11" s="45"/>
      <c r="L11" s="51">
        <v>174319581</v>
      </c>
      <c r="N11" s="51"/>
    </row>
    <row r="12" spans="2:14" s="3" customFormat="1" ht="12">
      <c r="B12" s="3" t="s">
        <v>73</v>
      </c>
      <c r="H12" s="123">
        <v>-30614936</v>
      </c>
      <c r="I12" s="124"/>
      <c r="J12" s="131"/>
      <c r="K12" s="45"/>
      <c r="L12" s="49">
        <v>-45395761</v>
      </c>
      <c r="M12" s="47"/>
      <c r="N12" s="49"/>
    </row>
    <row r="13" spans="1:14" s="3" customFormat="1" ht="12">
      <c r="A13" s="3">
        <v>2</v>
      </c>
      <c r="C13" s="3" t="s">
        <v>116</v>
      </c>
      <c r="H13" s="45"/>
      <c r="J13" s="51">
        <f>SUM(H11:H12)</f>
        <v>86946323</v>
      </c>
      <c r="K13" s="45"/>
      <c r="L13" s="51"/>
      <c r="N13" s="51">
        <f>SUM(L11:L12)</f>
        <v>128923820</v>
      </c>
    </row>
    <row r="14" spans="8:14" s="3" customFormat="1" ht="12">
      <c r="H14" s="45"/>
      <c r="J14" s="51"/>
      <c r="K14" s="45"/>
      <c r="L14" s="51"/>
      <c r="N14" s="51"/>
    </row>
    <row r="15" spans="2:14" s="3" customFormat="1" ht="12">
      <c r="B15" s="3" t="s">
        <v>117</v>
      </c>
      <c r="H15" s="45">
        <v>8469472</v>
      </c>
      <c r="J15" s="51"/>
      <c r="K15" s="45"/>
      <c r="L15" s="51">
        <v>12800483</v>
      </c>
      <c r="N15" s="51"/>
    </row>
    <row r="16" spans="2:14" s="3" customFormat="1" ht="12">
      <c r="B16" s="3" t="s">
        <v>101</v>
      </c>
      <c r="H16" s="46">
        <v>-2205593</v>
      </c>
      <c r="I16" s="47"/>
      <c r="J16" s="49"/>
      <c r="K16" s="45"/>
      <c r="L16" s="49">
        <v>-3333462</v>
      </c>
      <c r="M16" s="47"/>
      <c r="N16" s="49"/>
    </row>
    <row r="17" spans="1:14" s="3" customFormat="1" ht="12">
      <c r="A17" s="3">
        <v>3</v>
      </c>
      <c r="C17" s="3" t="s">
        <v>118</v>
      </c>
      <c r="H17" s="45"/>
      <c r="J17" s="51">
        <f>SUM(H15:H16)</f>
        <v>6263879</v>
      </c>
      <c r="K17" s="45"/>
      <c r="L17" s="51"/>
      <c r="N17" s="51">
        <f>SUM(L15:L16)</f>
        <v>9467021</v>
      </c>
    </row>
    <row r="18" spans="8:14" s="3" customFormat="1" ht="12">
      <c r="H18" s="45"/>
      <c r="J18" s="51"/>
      <c r="K18" s="45"/>
      <c r="L18" s="51"/>
      <c r="N18" s="51"/>
    </row>
    <row r="19" spans="2:14" s="3" customFormat="1" ht="12">
      <c r="B19" s="3" t="s">
        <v>40</v>
      </c>
      <c r="H19" s="45">
        <v>10096881</v>
      </c>
      <c r="J19" s="51"/>
      <c r="K19" s="45"/>
      <c r="L19" s="51">
        <v>14971633</v>
      </c>
      <c r="N19" s="51"/>
    </row>
    <row r="20" spans="2:14" s="3" customFormat="1" ht="12">
      <c r="B20" s="3" t="s">
        <v>19</v>
      </c>
      <c r="H20" s="46">
        <v>-200</v>
      </c>
      <c r="I20" s="47"/>
      <c r="J20" s="49"/>
      <c r="K20" s="112"/>
      <c r="L20" s="49">
        <v>-297</v>
      </c>
      <c r="M20" s="47"/>
      <c r="N20" s="49"/>
    </row>
    <row r="21" spans="1:14" s="3" customFormat="1" ht="12">
      <c r="A21" s="3">
        <v>4</v>
      </c>
      <c r="C21" s="3" t="s">
        <v>119</v>
      </c>
      <c r="H21" s="45"/>
      <c r="J21" s="51">
        <f>SUM(H19:H20)</f>
        <v>10096681</v>
      </c>
      <c r="K21" s="45"/>
      <c r="L21" s="51"/>
      <c r="N21" s="51">
        <f>SUM(L19:L20)</f>
        <v>14971336</v>
      </c>
    </row>
    <row r="22" spans="8:14" s="3" customFormat="1" ht="12">
      <c r="H22" s="45"/>
      <c r="J22" s="51"/>
      <c r="K22" s="45"/>
      <c r="L22" s="51"/>
      <c r="N22" s="51"/>
    </row>
    <row r="23" spans="8:14" s="3" customFormat="1" ht="12">
      <c r="H23" s="45"/>
      <c r="J23" s="51"/>
      <c r="K23" s="45"/>
      <c r="L23" s="51"/>
      <c r="N23" s="51"/>
    </row>
    <row r="24" spans="1:14" s="3" customFormat="1" ht="12">
      <c r="A24" s="3">
        <v>5</v>
      </c>
      <c r="B24" s="3" t="s">
        <v>43</v>
      </c>
      <c r="H24" s="45"/>
      <c r="J24" s="132">
        <f>SUM(J9:J21)</f>
        <v>154905355</v>
      </c>
      <c r="K24" s="112"/>
      <c r="L24" s="51"/>
      <c r="N24" s="132">
        <f>SUM(N9:N21)</f>
        <v>229872280</v>
      </c>
    </row>
    <row r="25" spans="8:14" s="3" customFormat="1" ht="12">
      <c r="H25" s="45"/>
      <c r="J25" s="51"/>
      <c r="K25" s="45"/>
      <c r="L25" s="51"/>
      <c r="N25" s="51"/>
    </row>
    <row r="26" spans="8:14" s="3" customFormat="1" ht="12">
      <c r="H26" s="45"/>
      <c r="J26" s="51"/>
      <c r="K26" s="45"/>
      <c r="L26" s="51"/>
      <c r="N26" s="51"/>
    </row>
    <row r="27" spans="1:14" s="3" customFormat="1" ht="12">
      <c r="A27" s="3">
        <v>6</v>
      </c>
      <c r="B27" s="3" t="s">
        <v>120</v>
      </c>
      <c r="I27" s="101"/>
      <c r="J27" s="48">
        <v>549130</v>
      </c>
      <c r="K27" s="48"/>
      <c r="L27" s="160">
        <v>798533</v>
      </c>
      <c r="M27" s="160"/>
      <c r="N27" s="160"/>
    </row>
    <row r="28" spans="8:14" s="3" customFormat="1" ht="12">
      <c r="H28" s="45"/>
      <c r="J28" s="51"/>
      <c r="K28" s="45"/>
      <c r="L28" s="51"/>
      <c r="N28" s="51"/>
    </row>
    <row r="29" spans="1:14" s="3" customFormat="1" ht="12">
      <c r="A29" s="3">
        <v>7</v>
      </c>
      <c r="B29" s="3" t="s">
        <v>44</v>
      </c>
      <c r="H29" s="160">
        <v>15000000</v>
      </c>
      <c r="I29" s="160"/>
      <c r="J29" s="160"/>
      <c r="K29" s="51"/>
      <c r="L29" s="160">
        <v>15000000</v>
      </c>
      <c r="M29" s="160"/>
      <c r="N29" s="160"/>
    </row>
    <row r="30" spans="8:14" s="3" customFormat="1" ht="12">
      <c r="H30" s="45"/>
      <c r="J30" s="51"/>
      <c r="K30" s="45"/>
      <c r="L30" s="51"/>
      <c r="M30" s="52"/>
      <c r="N30" s="51"/>
    </row>
    <row r="31" spans="1:14" s="3" customFormat="1" ht="12">
      <c r="A31" s="3">
        <v>8</v>
      </c>
      <c r="B31" s="3" t="s">
        <v>45</v>
      </c>
      <c r="I31" s="125"/>
      <c r="J31" s="49">
        <v>-2325771</v>
      </c>
      <c r="K31" s="113"/>
      <c r="L31" s="52"/>
      <c r="M31" s="125"/>
      <c r="N31" s="49">
        <v>-4983082</v>
      </c>
    </row>
    <row r="32" spans="8:14" s="3" customFormat="1" ht="12">
      <c r="H32" s="45"/>
      <c r="J32" s="51"/>
      <c r="K32" s="45"/>
      <c r="L32" s="51"/>
      <c r="M32" s="52"/>
      <c r="N32" s="51"/>
    </row>
    <row r="33" spans="1:14" s="3" customFormat="1" ht="12">
      <c r="A33" s="3">
        <v>9</v>
      </c>
      <c r="B33" s="3" t="s">
        <v>46</v>
      </c>
      <c r="I33" s="125"/>
      <c r="J33" s="49">
        <f>SUM(H27:J31)</f>
        <v>13223359</v>
      </c>
      <c r="K33" s="113"/>
      <c r="L33" s="52"/>
      <c r="M33" s="125"/>
      <c r="N33" s="49">
        <f>SUM(L27:N31)</f>
        <v>10815451</v>
      </c>
    </row>
    <row r="34" spans="8:14" s="3" customFormat="1" ht="12">
      <c r="H34" s="45"/>
      <c r="J34" s="51"/>
      <c r="K34" s="45"/>
      <c r="L34" s="51"/>
      <c r="M34" s="52"/>
      <c r="N34" s="51"/>
    </row>
    <row r="35" spans="1:14" ht="15" thickBot="1">
      <c r="A35" s="3">
        <v>10</v>
      </c>
      <c r="B35" s="3" t="s">
        <v>122</v>
      </c>
      <c r="I35" s="126"/>
      <c r="J35" s="50">
        <f>SUM(J24-J33)</f>
        <v>141681996</v>
      </c>
      <c r="K35" s="113"/>
      <c r="M35" s="126"/>
      <c r="N35" s="50">
        <f>SUM(N24-N33)</f>
        <v>219056829</v>
      </c>
    </row>
    <row r="36" ht="15" thickTop="1"/>
    <row r="37" spans="1:14" ht="15" thickBot="1">
      <c r="A37" s="3">
        <v>11</v>
      </c>
      <c r="B37" s="3" t="s">
        <v>121</v>
      </c>
      <c r="C37" s="3"/>
      <c r="D37" s="3"/>
      <c r="E37" s="3"/>
      <c r="H37" s="129" t="s">
        <v>167</v>
      </c>
      <c r="I37" s="127"/>
      <c r="J37" s="133">
        <f>SUM(J24/J33)</f>
        <v>11.714523896689185</v>
      </c>
      <c r="L37" s="128" t="s">
        <v>170</v>
      </c>
      <c r="M37" s="127"/>
      <c r="N37" s="133">
        <f>SUM(N24/N33)</f>
        <v>21.25406328409236</v>
      </c>
    </row>
    <row r="38" ht="15" thickTop="1"/>
  </sheetData>
  <sheetProtection/>
  <mergeCells count="5">
    <mergeCell ref="H4:J4"/>
    <mergeCell ref="L4:N4"/>
    <mergeCell ref="L27:N27"/>
    <mergeCell ref="H29:J29"/>
    <mergeCell ref="L29:N29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6">
      <selection activeCell="G22" sqref="G22"/>
    </sheetView>
  </sheetViews>
  <sheetFormatPr defaultColWidth="9.140625" defaultRowHeight="15"/>
  <cols>
    <col min="1" max="1" width="4.7109375" style="0" customWidth="1"/>
    <col min="2" max="2" width="1.421875" style="0" customWidth="1"/>
    <col min="3" max="3" width="8.28125" style="0" customWidth="1"/>
    <col min="4" max="4" width="1.28515625" style="0" customWidth="1"/>
    <col min="5" max="5" width="9.140625" style="0" customWidth="1"/>
    <col min="6" max="6" width="0.85546875" style="0" customWidth="1"/>
    <col min="7" max="7" width="8.421875" style="25" customWidth="1"/>
    <col min="8" max="8" width="1.1484375" style="0" customWidth="1"/>
    <col min="9" max="9" width="11.8515625" style="25" customWidth="1"/>
    <col min="10" max="10" width="1.1484375" style="0" customWidth="1"/>
    <col min="11" max="11" width="10.8515625" style="0" customWidth="1"/>
    <col min="12" max="12" width="0.9921875" style="0" customWidth="1"/>
    <col min="13" max="13" width="13.00390625" style="0" customWidth="1"/>
    <col min="14" max="14" width="1.421875" style="0" customWidth="1"/>
    <col min="15" max="15" width="12.7109375" style="0" customWidth="1"/>
    <col min="16" max="16" width="1.57421875" style="0" customWidth="1"/>
    <col min="17" max="17" width="3.00390625" style="0" customWidth="1"/>
  </cols>
  <sheetData>
    <row r="1" ht="23.25">
      <c r="A1" s="2" t="s">
        <v>0</v>
      </c>
    </row>
    <row r="2" ht="14.25">
      <c r="A2" t="s">
        <v>172</v>
      </c>
    </row>
    <row r="3" ht="14.25">
      <c r="A3" s="1" t="s">
        <v>48</v>
      </c>
    </row>
    <row r="4" spans="1:16" ht="15" customHeight="1">
      <c r="A4" s="77"/>
      <c r="B4" s="77"/>
      <c r="C4" s="77"/>
      <c r="D4" s="77"/>
      <c r="E4" s="77"/>
      <c r="F4" s="77"/>
      <c r="G4" s="78"/>
      <c r="H4" s="77"/>
      <c r="I4" s="78"/>
      <c r="J4" s="70"/>
      <c r="K4" s="166" t="s">
        <v>110</v>
      </c>
      <c r="L4" s="77"/>
      <c r="M4" s="79"/>
      <c r="N4" s="77"/>
      <c r="O4" s="70"/>
      <c r="P4" s="3"/>
    </row>
    <row r="5" spans="1:16" ht="14.25">
      <c r="A5" s="77"/>
      <c r="B5" s="76"/>
      <c r="C5" s="76"/>
      <c r="D5" s="76"/>
      <c r="E5" s="80"/>
      <c r="F5" s="76"/>
      <c r="G5" s="81"/>
      <c r="H5" s="76"/>
      <c r="I5" s="164" t="s">
        <v>161</v>
      </c>
      <c r="J5" s="39"/>
      <c r="K5" s="166"/>
      <c r="L5" s="82"/>
      <c r="M5" s="168" t="s">
        <v>51</v>
      </c>
      <c r="N5" s="5"/>
      <c r="O5" s="170" t="s">
        <v>50</v>
      </c>
      <c r="P5" s="3"/>
    </row>
    <row r="6" spans="1:16" ht="15" customHeight="1">
      <c r="A6" s="76"/>
      <c r="B6" s="76"/>
      <c r="C6" s="76"/>
      <c r="D6" s="76"/>
      <c r="E6" s="171" t="s">
        <v>31</v>
      </c>
      <c r="F6" s="17"/>
      <c r="G6" s="173" t="s">
        <v>49</v>
      </c>
      <c r="H6" s="17"/>
      <c r="I6" s="164"/>
      <c r="J6" s="39"/>
      <c r="K6" s="166"/>
      <c r="L6" s="19"/>
      <c r="M6" s="168"/>
      <c r="N6" s="5"/>
      <c r="O6" s="170"/>
      <c r="P6" s="3"/>
    </row>
    <row r="7" spans="1:16" ht="14.25">
      <c r="A7" s="76"/>
      <c r="B7" s="76"/>
      <c r="C7" s="76"/>
      <c r="D7" s="76"/>
      <c r="E7" s="171"/>
      <c r="F7" s="17"/>
      <c r="G7" s="173"/>
      <c r="H7" s="17"/>
      <c r="I7" s="164"/>
      <c r="J7" s="39"/>
      <c r="K7" s="166"/>
      <c r="L7" s="19"/>
      <c r="M7" s="168"/>
      <c r="N7" s="5"/>
      <c r="O7" s="170"/>
      <c r="P7" s="3"/>
    </row>
    <row r="8" spans="1:16" ht="14.25">
      <c r="A8" s="161" t="s">
        <v>12</v>
      </c>
      <c r="B8" s="76"/>
      <c r="C8" s="161" t="s">
        <v>3</v>
      </c>
      <c r="D8" s="76"/>
      <c r="E8" s="171"/>
      <c r="F8" s="17"/>
      <c r="G8" s="173"/>
      <c r="H8" s="17"/>
      <c r="I8" s="164"/>
      <c r="J8" s="39"/>
      <c r="K8" s="166"/>
      <c r="L8" s="19"/>
      <c r="M8" s="168"/>
      <c r="N8" s="5"/>
      <c r="O8" s="170"/>
      <c r="P8" s="3"/>
    </row>
    <row r="9" spans="1:16" ht="15" thickBot="1">
      <c r="A9" s="162"/>
      <c r="B9" s="83"/>
      <c r="C9" s="162"/>
      <c r="D9" s="83"/>
      <c r="E9" s="172"/>
      <c r="F9" s="18"/>
      <c r="G9" s="174"/>
      <c r="H9" s="18"/>
      <c r="I9" s="165"/>
      <c r="J9" s="40"/>
      <c r="K9" s="167"/>
      <c r="L9" s="20"/>
      <c r="M9" s="169"/>
      <c r="N9" s="9"/>
      <c r="O9" s="167"/>
      <c r="P9" s="3"/>
    </row>
    <row r="10" spans="1:16" ht="14.25">
      <c r="A10" s="77"/>
      <c r="B10" s="77"/>
      <c r="C10" s="77"/>
      <c r="D10" s="77"/>
      <c r="E10" s="77"/>
      <c r="F10" s="77"/>
      <c r="G10" s="78"/>
      <c r="H10" s="77"/>
      <c r="I10" s="78"/>
      <c r="J10" s="70"/>
      <c r="K10" s="70"/>
      <c r="L10" s="77"/>
      <c r="M10" s="79"/>
      <c r="N10" s="77"/>
      <c r="O10" s="70"/>
      <c r="P10" s="3"/>
    </row>
    <row r="11" spans="1:16" ht="14.25">
      <c r="A11" s="77">
        <v>1</v>
      </c>
      <c r="B11" s="77"/>
      <c r="C11" s="77">
        <v>2018</v>
      </c>
      <c r="D11" s="77"/>
      <c r="E11" s="78">
        <v>9216000</v>
      </c>
      <c r="F11" s="77"/>
      <c r="G11" s="78">
        <f>SUM(E11/1600)</f>
        <v>5760</v>
      </c>
      <c r="H11" s="77"/>
      <c r="I11" s="78">
        <f>SUM(G11*21.82)</f>
        <v>125683.2</v>
      </c>
      <c r="J11" s="70"/>
      <c r="K11" s="70">
        <f>SUM(I11*23.7)</f>
        <v>2978691.84</v>
      </c>
      <c r="L11" s="77"/>
      <c r="M11" s="79">
        <f>SUM(K11/(1.07)^A11)</f>
        <v>2783824.14953271</v>
      </c>
      <c r="N11" s="77"/>
      <c r="O11" s="70">
        <f>SUM(K11/(1.03)^A11)</f>
        <v>2891933.825242718</v>
      </c>
      <c r="P11" s="3"/>
    </row>
    <row r="12" spans="1:16" ht="14.25">
      <c r="A12" s="77">
        <v>2</v>
      </c>
      <c r="B12" s="77"/>
      <c r="C12" s="77">
        <v>2019</v>
      </c>
      <c r="D12" s="77"/>
      <c r="E12" s="78">
        <v>9216000</v>
      </c>
      <c r="F12" s="77"/>
      <c r="G12" s="78">
        <f aca="true" t="shared" si="0" ref="G12:G30">SUM(E12/1600)</f>
        <v>5760</v>
      </c>
      <c r="H12" s="77"/>
      <c r="I12" s="78">
        <f aca="true" t="shared" si="1" ref="I12:I30">SUM(G12*21.82)</f>
        <v>125683.2</v>
      </c>
      <c r="J12" s="70"/>
      <c r="K12" s="70">
        <f aca="true" t="shared" si="2" ref="K12:K30">SUM(I12*23.7)</f>
        <v>2978691.84</v>
      </c>
      <c r="L12" s="77"/>
      <c r="M12" s="79">
        <f aca="true" t="shared" si="3" ref="M12:M30">SUM(K12/(1.07)^A12)</f>
        <v>2601704.8126473925</v>
      </c>
      <c r="N12" s="77"/>
      <c r="O12" s="70">
        <f aca="true" t="shared" si="4" ref="O12:O30">SUM(K12/(1.03)^A12)</f>
        <v>2807702.7429540954</v>
      </c>
      <c r="P12" s="3"/>
    </row>
    <row r="13" spans="1:16" ht="14.25">
      <c r="A13" s="77">
        <v>3</v>
      </c>
      <c r="B13" s="77"/>
      <c r="C13" s="77">
        <v>2020</v>
      </c>
      <c r="D13" s="77"/>
      <c r="E13" s="78">
        <v>9216000</v>
      </c>
      <c r="F13" s="77"/>
      <c r="G13" s="78">
        <f t="shared" si="0"/>
        <v>5760</v>
      </c>
      <c r="H13" s="77"/>
      <c r="I13" s="78">
        <f t="shared" si="1"/>
        <v>125683.2</v>
      </c>
      <c r="J13" s="70"/>
      <c r="K13" s="70">
        <f t="shared" si="2"/>
        <v>2978691.84</v>
      </c>
      <c r="L13" s="77"/>
      <c r="M13" s="79">
        <f t="shared" si="3"/>
        <v>2431499.824904105</v>
      </c>
      <c r="N13" s="77"/>
      <c r="O13" s="70">
        <f t="shared" si="4"/>
        <v>2725924.993159316</v>
      </c>
      <c r="P13" s="3"/>
    </row>
    <row r="14" spans="1:16" ht="14.25">
      <c r="A14" s="77">
        <v>4</v>
      </c>
      <c r="B14" s="77"/>
      <c r="C14" s="77">
        <v>2021</v>
      </c>
      <c r="D14" s="77"/>
      <c r="E14" s="78">
        <v>9216000</v>
      </c>
      <c r="F14" s="77"/>
      <c r="G14" s="78">
        <f t="shared" si="0"/>
        <v>5760</v>
      </c>
      <c r="H14" s="77"/>
      <c r="I14" s="78">
        <f t="shared" si="1"/>
        <v>125683.2</v>
      </c>
      <c r="J14" s="70"/>
      <c r="K14" s="70">
        <f t="shared" si="2"/>
        <v>2978691.84</v>
      </c>
      <c r="L14" s="77"/>
      <c r="M14" s="79">
        <f t="shared" si="3"/>
        <v>2272429.742901033</v>
      </c>
      <c r="N14" s="77"/>
      <c r="O14" s="70">
        <f t="shared" si="4"/>
        <v>2646529.1195721515</v>
      </c>
      <c r="P14" s="3"/>
    </row>
    <row r="15" spans="1:16" ht="14.25">
      <c r="A15" s="77">
        <v>5</v>
      </c>
      <c r="B15" s="77"/>
      <c r="C15" s="77">
        <v>2022</v>
      </c>
      <c r="D15" s="77"/>
      <c r="E15" s="78">
        <v>18432000</v>
      </c>
      <c r="F15" s="77"/>
      <c r="G15" s="78">
        <f t="shared" si="0"/>
        <v>11520</v>
      </c>
      <c r="H15" s="77"/>
      <c r="I15" s="78">
        <f t="shared" si="1"/>
        <v>251366.4</v>
      </c>
      <c r="J15" s="70"/>
      <c r="K15" s="70">
        <f t="shared" si="2"/>
        <v>5957383.68</v>
      </c>
      <c r="L15" s="77"/>
      <c r="M15" s="79">
        <f t="shared" si="3"/>
        <v>4247532.229721556</v>
      </c>
      <c r="N15" s="77"/>
      <c r="O15" s="70">
        <f t="shared" si="4"/>
        <v>5138891.494314858</v>
      </c>
      <c r="P15" s="3"/>
    </row>
    <row r="16" spans="1:16" ht="14.25">
      <c r="A16" s="77">
        <v>6</v>
      </c>
      <c r="B16" s="77"/>
      <c r="C16" s="77">
        <v>2023</v>
      </c>
      <c r="D16" s="77"/>
      <c r="E16" s="78">
        <v>18432000</v>
      </c>
      <c r="F16" s="77"/>
      <c r="G16" s="78">
        <f>SUM(E16/1600)</f>
        <v>11520</v>
      </c>
      <c r="H16" s="77"/>
      <c r="I16" s="78">
        <f t="shared" si="1"/>
        <v>251366.4</v>
      </c>
      <c r="J16" s="70"/>
      <c r="K16" s="70">
        <f t="shared" si="2"/>
        <v>5957383.68</v>
      </c>
      <c r="L16" s="77"/>
      <c r="M16" s="79">
        <f t="shared" si="3"/>
        <v>3969656.289459399</v>
      </c>
      <c r="N16" s="77"/>
      <c r="O16" s="70">
        <f t="shared" si="4"/>
        <v>4989215.043024134</v>
      </c>
      <c r="P16" s="3"/>
    </row>
    <row r="17" spans="1:16" ht="14.25">
      <c r="A17" s="77">
        <v>7</v>
      </c>
      <c r="B17" s="77"/>
      <c r="C17" s="77">
        <v>2024</v>
      </c>
      <c r="D17" s="77"/>
      <c r="E17" s="78">
        <v>18432000</v>
      </c>
      <c r="F17" s="77"/>
      <c r="G17" s="78">
        <f t="shared" si="0"/>
        <v>11520</v>
      </c>
      <c r="H17" s="77"/>
      <c r="I17" s="78">
        <f t="shared" si="1"/>
        <v>251366.4</v>
      </c>
      <c r="J17" s="70"/>
      <c r="K17" s="70">
        <f t="shared" si="2"/>
        <v>5957383.68</v>
      </c>
      <c r="L17" s="77"/>
      <c r="M17" s="79">
        <f t="shared" si="3"/>
        <v>3709959.149027475</v>
      </c>
      <c r="N17" s="77"/>
      <c r="O17" s="70">
        <f t="shared" si="4"/>
        <v>4843898.10002343</v>
      </c>
      <c r="P17" s="3"/>
    </row>
    <row r="18" spans="1:16" ht="14.25">
      <c r="A18" s="77">
        <v>8</v>
      </c>
      <c r="B18" s="77"/>
      <c r="C18" s="77">
        <v>2025</v>
      </c>
      <c r="D18" s="77"/>
      <c r="E18" s="78">
        <v>19200000</v>
      </c>
      <c r="F18" s="77"/>
      <c r="G18" s="78">
        <f t="shared" si="0"/>
        <v>12000</v>
      </c>
      <c r="H18" s="77"/>
      <c r="I18" s="78">
        <f t="shared" si="1"/>
        <v>261840</v>
      </c>
      <c r="J18" s="70"/>
      <c r="K18" s="70">
        <f t="shared" si="2"/>
        <v>6205608</v>
      </c>
      <c r="L18" s="77"/>
      <c r="M18" s="79">
        <f t="shared" si="3"/>
        <v>3611720.355361639</v>
      </c>
      <c r="N18" s="77"/>
      <c r="O18" s="70">
        <f t="shared" si="4"/>
        <v>4898764.2597324345</v>
      </c>
      <c r="P18" s="3"/>
    </row>
    <row r="19" spans="1:16" ht="14.25">
      <c r="A19" s="77">
        <v>9</v>
      </c>
      <c r="B19" s="77"/>
      <c r="C19" s="77">
        <v>2026</v>
      </c>
      <c r="D19" s="77"/>
      <c r="E19" s="78">
        <v>19200000</v>
      </c>
      <c r="F19" s="77"/>
      <c r="G19" s="78">
        <f t="shared" si="0"/>
        <v>12000</v>
      </c>
      <c r="H19" s="77"/>
      <c r="I19" s="78">
        <f t="shared" si="1"/>
        <v>261840</v>
      </c>
      <c r="J19" s="70"/>
      <c r="K19" s="70">
        <f t="shared" si="2"/>
        <v>6205608</v>
      </c>
      <c r="L19" s="77"/>
      <c r="M19" s="79">
        <f t="shared" si="3"/>
        <v>3375439.5844501294</v>
      </c>
      <c r="N19" s="77"/>
      <c r="O19" s="70">
        <f t="shared" si="4"/>
        <v>4756081.80556547</v>
      </c>
      <c r="P19" s="3"/>
    </row>
    <row r="20" spans="1:16" ht="14.25">
      <c r="A20" s="77">
        <v>10</v>
      </c>
      <c r="B20" s="77"/>
      <c r="C20" s="77">
        <v>2027</v>
      </c>
      <c r="D20" s="77"/>
      <c r="E20" s="78">
        <v>19968000</v>
      </c>
      <c r="F20" s="77"/>
      <c r="G20" s="78">
        <f t="shared" si="0"/>
        <v>12480</v>
      </c>
      <c r="H20" s="77"/>
      <c r="I20" s="78">
        <f t="shared" si="1"/>
        <v>272313.6</v>
      </c>
      <c r="J20" s="70"/>
      <c r="K20" s="70">
        <f t="shared" si="2"/>
        <v>6453832.319999999</v>
      </c>
      <c r="L20" s="77"/>
      <c r="M20" s="79">
        <f t="shared" si="3"/>
        <v>3280801.091428163</v>
      </c>
      <c r="N20" s="77"/>
      <c r="O20" s="70">
        <f t="shared" si="4"/>
        <v>4802257.357075814</v>
      </c>
      <c r="P20" s="3"/>
    </row>
    <row r="21" spans="1:16" ht="14.25">
      <c r="A21" s="77">
        <v>11</v>
      </c>
      <c r="B21" s="77"/>
      <c r="C21" s="77">
        <v>2028</v>
      </c>
      <c r="D21" s="77"/>
      <c r="E21" s="78">
        <v>20736000</v>
      </c>
      <c r="F21" s="77"/>
      <c r="G21" s="78">
        <f t="shared" si="0"/>
        <v>12960</v>
      </c>
      <c r="H21" s="77"/>
      <c r="I21" s="78">
        <f t="shared" si="1"/>
        <v>282787.2</v>
      </c>
      <c r="J21" s="70"/>
      <c r="K21" s="70">
        <f t="shared" si="2"/>
        <v>6702056.64</v>
      </c>
      <c r="L21" s="77"/>
      <c r="M21" s="79">
        <f t="shared" si="3"/>
        <v>3184098.830645593</v>
      </c>
      <c r="N21" s="77"/>
      <c r="O21" s="70">
        <f t="shared" si="4"/>
        <v>4841708.3137060115</v>
      </c>
      <c r="P21" s="3"/>
    </row>
    <row r="22" spans="1:16" ht="14.25">
      <c r="A22" s="77">
        <v>12</v>
      </c>
      <c r="B22" s="77"/>
      <c r="C22" s="77">
        <v>2029</v>
      </c>
      <c r="D22" s="77"/>
      <c r="E22" s="78">
        <v>20736000</v>
      </c>
      <c r="F22" s="77"/>
      <c r="G22" s="78">
        <f t="shared" si="0"/>
        <v>12960</v>
      </c>
      <c r="H22" s="77"/>
      <c r="I22" s="78">
        <f t="shared" si="1"/>
        <v>282787.2</v>
      </c>
      <c r="J22" s="70"/>
      <c r="K22" s="70">
        <f t="shared" si="2"/>
        <v>6702056.64</v>
      </c>
      <c r="L22" s="77"/>
      <c r="M22" s="79">
        <f t="shared" si="3"/>
        <v>2975793.299668779</v>
      </c>
      <c r="N22" s="77"/>
      <c r="O22" s="70">
        <f t="shared" si="4"/>
        <v>4700687.68320972</v>
      </c>
      <c r="P22" s="3"/>
    </row>
    <row r="23" spans="1:16" ht="14.25">
      <c r="A23" s="77">
        <v>13</v>
      </c>
      <c r="B23" s="77"/>
      <c r="C23" s="77">
        <v>2030</v>
      </c>
      <c r="D23" s="77"/>
      <c r="E23" s="78">
        <v>20736000</v>
      </c>
      <c r="F23" s="77"/>
      <c r="G23" s="78">
        <f t="shared" si="0"/>
        <v>12960</v>
      </c>
      <c r="H23" s="77"/>
      <c r="I23" s="78">
        <f t="shared" si="1"/>
        <v>282787.2</v>
      </c>
      <c r="J23" s="70"/>
      <c r="K23" s="70">
        <f t="shared" si="2"/>
        <v>6702056.64</v>
      </c>
      <c r="L23" s="77"/>
      <c r="M23" s="79">
        <f t="shared" si="3"/>
        <v>2781115.2333353073</v>
      </c>
      <c r="N23" s="77"/>
      <c r="O23" s="70">
        <f t="shared" si="4"/>
        <v>4563774.449718175</v>
      </c>
      <c r="P23" s="3"/>
    </row>
    <row r="24" spans="1:16" ht="14.25">
      <c r="A24" s="77">
        <v>14</v>
      </c>
      <c r="B24" s="77"/>
      <c r="C24" s="77">
        <v>2031</v>
      </c>
      <c r="D24" s="77"/>
      <c r="E24" s="78">
        <v>20736000</v>
      </c>
      <c r="F24" s="77"/>
      <c r="G24" s="78">
        <f t="shared" si="0"/>
        <v>12960</v>
      </c>
      <c r="H24" s="77"/>
      <c r="I24" s="78">
        <f t="shared" si="1"/>
        <v>282787.2</v>
      </c>
      <c r="J24" s="70"/>
      <c r="K24" s="70">
        <f t="shared" si="2"/>
        <v>6702056.64</v>
      </c>
      <c r="L24" s="77"/>
      <c r="M24" s="79">
        <f t="shared" si="3"/>
        <v>2599173.1152666425</v>
      </c>
      <c r="N24" s="77"/>
      <c r="O24" s="70">
        <f t="shared" si="4"/>
        <v>4430848.980308907</v>
      </c>
      <c r="P24" s="3"/>
    </row>
    <row r="25" spans="1:16" ht="14.25">
      <c r="A25" s="77">
        <v>15</v>
      </c>
      <c r="B25" s="77"/>
      <c r="C25" s="77">
        <v>2032</v>
      </c>
      <c r="D25" s="77"/>
      <c r="E25" s="78">
        <v>21504000</v>
      </c>
      <c r="F25" s="77"/>
      <c r="G25" s="78">
        <f t="shared" si="0"/>
        <v>13440</v>
      </c>
      <c r="H25" s="77"/>
      <c r="I25" s="78">
        <f t="shared" si="1"/>
        <v>293260.8</v>
      </c>
      <c r="J25" s="70"/>
      <c r="K25" s="70">
        <f t="shared" si="2"/>
        <v>6950280.96</v>
      </c>
      <c r="L25" s="77"/>
      <c r="M25" s="79">
        <f t="shared" si="3"/>
        <v>2519101.6693480783</v>
      </c>
      <c r="N25" s="77"/>
      <c r="O25" s="70">
        <f t="shared" si="4"/>
        <v>4461120.871939928</v>
      </c>
      <c r="P25" s="3"/>
    </row>
    <row r="26" spans="1:16" ht="14.25">
      <c r="A26" s="77">
        <v>16</v>
      </c>
      <c r="B26" s="77"/>
      <c r="C26" s="77">
        <v>2033</v>
      </c>
      <c r="D26" s="77"/>
      <c r="E26" s="78">
        <v>21504000</v>
      </c>
      <c r="F26" s="77"/>
      <c r="G26" s="78">
        <f t="shared" si="0"/>
        <v>13440</v>
      </c>
      <c r="H26" s="77"/>
      <c r="I26" s="78">
        <f t="shared" si="1"/>
        <v>293260.8</v>
      </c>
      <c r="J26" s="70"/>
      <c r="K26" s="70">
        <f t="shared" si="2"/>
        <v>6950280.96</v>
      </c>
      <c r="L26" s="77"/>
      <c r="M26" s="79">
        <f t="shared" si="3"/>
        <v>2354300.6255589523</v>
      </c>
      <c r="N26" s="77"/>
      <c r="O26" s="70">
        <f t="shared" si="4"/>
        <v>4331185.312563038</v>
      </c>
      <c r="P26" s="3"/>
    </row>
    <row r="27" spans="1:16" ht="14.25">
      <c r="A27" s="77">
        <v>17</v>
      </c>
      <c r="B27" s="77"/>
      <c r="C27" s="77">
        <v>2034</v>
      </c>
      <c r="D27" s="77"/>
      <c r="E27" s="78">
        <v>21504000</v>
      </c>
      <c r="F27" s="77"/>
      <c r="G27" s="78">
        <f t="shared" si="0"/>
        <v>13440</v>
      </c>
      <c r="H27" s="77"/>
      <c r="I27" s="78">
        <f t="shared" si="1"/>
        <v>293260.8</v>
      </c>
      <c r="J27" s="70"/>
      <c r="K27" s="70">
        <f t="shared" si="2"/>
        <v>6950280.96</v>
      </c>
      <c r="L27" s="77"/>
      <c r="M27" s="79">
        <f t="shared" si="3"/>
        <v>2200280.9584663105</v>
      </c>
      <c r="N27" s="77"/>
      <c r="O27" s="70">
        <f t="shared" si="4"/>
        <v>4205034.284041785</v>
      </c>
      <c r="P27" s="3"/>
    </row>
    <row r="28" spans="1:16" ht="14.25">
      <c r="A28" s="77">
        <v>18</v>
      </c>
      <c r="B28" s="77"/>
      <c r="C28" s="77">
        <v>2035</v>
      </c>
      <c r="D28" s="77"/>
      <c r="E28" s="78">
        <v>22176000</v>
      </c>
      <c r="F28" s="77"/>
      <c r="G28" s="78">
        <f t="shared" si="0"/>
        <v>13860</v>
      </c>
      <c r="H28" s="77"/>
      <c r="I28" s="78">
        <f t="shared" si="1"/>
        <v>302425.2</v>
      </c>
      <c r="J28" s="70"/>
      <c r="K28" s="70">
        <f t="shared" si="2"/>
        <v>7167477.24</v>
      </c>
      <c r="L28" s="77"/>
      <c r="M28" s="79">
        <f t="shared" si="3"/>
        <v>2120597.8863723204</v>
      </c>
      <c r="N28" s="77"/>
      <c r="O28" s="70">
        <f t="shared" si="4"/>
        <v>4210137.480988437</v>
      </c>
      <c r="P28" s="3"/>
    </row>
    <row r="29" spans="1:16" ht="14.25">
      <c r="A29" s="77">
        <v>19</v>
      </c>
      <c r="B29" s="77"/>
      <c r="C29" s="77">
        <v>2036</v>
      </c>
      <c r="D29" s="77"/>
      <c r="E29" s="78">
        <v>22176000</v>
      </c>
      <c r="F29" s="77"/>
      <c r="G29" s="78">
        <f t="shared" si="0"/>
        <v>13860</v>
      </c>
      <c r="H29" s="77"/>
      <c r="I29" s="78">
        <f t="shared" si="1"/>
        <v>302425.2</v>
      </c>
      <c r="J29" s="70"/>
      <c r="K29" s="70">
        <f t="shared" si="2"/>
        <v>7167477.24</v>
      </c>
      <c r="L29" s="77"/>
      <c r="M29" s="79">
        <f t="shared" si="3"/>
        <v>1981867.1835255327</v>
      </c>
      <c r="N29" s="77"/>
      <c r="O29" s="70">
        <f t="shared" si="4"/>
        <v>4087512.1174645023</v>
      </c>
      <c r="P29" s="3"/>
    </row>
    <row r="30" spans="1:16" ht="14.25">
      <c r="A30" s="77">
        <v>20</v>
      </c>
      <c r="B30" s="77"/>
      <c r="C30" s="77">
        <v>2037</v>
      </c>
      <c r="D30" s="44"/>
      <c r="E30" s="88">
        <v>22176000</v>
      </c>
      <c r="F30" s="44"/>
      <c r="G30" s="88">
        <f t="shared" si="0"/>
        <v>13860</v>
      </c>
      <c r="H30" s="44"/>
      <c r="I30" s="88">
        <f t="shared" si="1"/>
        <v>302425.2</v>
      </c>
      <c r="J30" s="71"/>
      <c r="K30" s="71">
        <f t="shared" si="2"/>
        <v>7167477.24</v>
      </c>
      <c r="L30" s="44"/>
      <c r="M30" s="84">
        <f t="shared" si="3"/>
        <v>1852212.3210518998</v>
      </c>
      <c r="N30" s="44"/>
      <c r="O30" s="71">
        <f t="shared" si="4"/>
        <v>3968458.366470391</v>
      </c>
      <c r="P30" s="3"/>
    </row>
    <row r="31" spans="1:16" ht="14.25">
      <c r="A31" s="77"/>
      <c r="B31" s="77"/>
      <c r="C31" s="77"/>
      <c r="D31" s="77"/>
      <c r="E31" s="77"/>
      <c r="F31" s="77"/>
      <c r="G31" s="78"/>
      <c r="H31" s="77"/>
      <c r="I31" s="78"/>
      <c r="J31" s="70"/>
      <c r="K31" s="70"/>
      <c r="L31" s="77"/>
      <c r="M31" s="79"/>
      <c r="N31" s="77"/>
      <c r="O31" s="70"/>
      <c r="P31" s="3"/>
    </row>
    <row r="32" spans="1:16" ht="15" thickBot="1">
      <c r="A32" s="77"/>
      <c r="B32" s="77"/>
      <c r="C32" s="77"/>
      <c r="D32" s="77"/>
      <c r="E32" s="77"/>
      <c r="F32" s="77"/>
      <c r="G32" s="81"/>
      <c r="H32" s="76"/>
      <c r="I32" s="81"/>
      <c r="J32" s="86"/>
      <c r="K32" s="86">
        <f>SUM(K11:K31)</f>
        <v>117813467.87999997</v>
      </c>
      <c r="L32" s="86"/>
      <c r="M32" s="86">
        <f>SUM(M11:M30)</f>
        <v>56853108.352673024</v>
      </c>
      <c r="N32" s="86"/>
      <c r="O32" s="86">
        <f>SUM(O11:O30)</f>
        <v>84301666.6010753</v>
      </c>
      <c r="P32" s="72"/>
    </row>
    <row r="33" spans="1:16" ht="16.5" customHeight="1" thickTop="1">
      <c r="A33" s="3"/>
      <c r="B33" s="3"/>
      <c r="C33" s="3"/>
      <c r="D33" s="3"/>
      <c r="E33" s="3"/>
      <c r="F33" s="3"/>
      <c r="G33" s="26"/>
      <c r="H33" s="3"/>
      <c r="I33" s="26"/>
      <c r="J33" s="57"/>
      <c r="K33" s="57"/>
      <c r="L33" s="3"/>
      <c r="M33" s="13"/>
      <c r="N33" s="3"/>
      <c r="O33" s="57"/>
      <c r="P33" s="3"/>
    </row>
    <row r="34" spans="1:16" ht="14.25">
      <c r="A34" s="3"/>
      <c r="B34" s="74" t="s">
        <v>25</v>
      </c>
      <c r="C34" s="3"/>
      <c r="D34" s="3"/>
      <c r="E34" s="3"/>
      <c r="F34" s="3"/>
      <c r="G34" s="26"/>
      <c r="H34" s="3"/>
      <c r="I34" s="26"/>
      <c r="J34" s="57"/>
      <c r="K34" s="57"/>
      <c r="L34" s="3"/>
      <c r="M34" s="13"/>
      <c r="N34" s="3"/>
      <c r="O34" s="57"/>
      <c r="P34" s="3"/>
    </row>
    <row r="35" spans="1:16" ht="14.25">
      <c r="A35" s="3"/>
      <c r="B35" s="75" t="s">
        <v>56</v>
      </c>
      <c r="C35" s="3"/>
      <c r="D35" s="3"/>
      <c r="E35" s="3"/>
      <c r="F35" s="3"/>
      <c r="G35" s="26"/>
      <c r="H35" s="3"/>
      <c r="I35" s="26"/>
      <c r="J35" s="57"/>
      <c r="K35" s="57"/>
      <c r="L35" s="3"/>
      <c r="M35" s="13"/>
      <c r="N35" s="3"/>
      <c r="O35" s="57"/>
      <c r="P35" s="3"/>
    </row>
    <row r="36" spans="1:16" ht="14.25">
      <c r="A36" s="3"/>
      <c r="B36" s="75" t="s">
        <v>53</v>
      </c>
      <c r="C36" s="3"/>
      <c r="D36" s="3"/>
      <c r="E36" s="3"/>
      <c r="F36" s="3"/>
      <c r="G36" s="26"/>
      <c r="H36" s="3"/>
      <c r="I36" s="26"/>
      <c r="J36" s="3"/>
      <c r="K36" s="3"/>
      <c r="L36" s="3"/>
      <c r="M36" s="3"/>
      <c r="N36" s="3"/>
      <c r="O36" s="3"/>
      <c r="P36" s="3"/>
    </row>
    <row r="37" spans="1:16" ht="14.25">
      <c r="A37" s="3"/>
      <c r="B37" s="75" t="s">
        <v>54</v>
      </c>
      <c r="C37" s="3"/>
      <c r="D37" s="3"/>
      <c r="E37" s="3"/>
      <c r="F37" s="3"/>
      <c r="G37" s="26"/>
      <c r="H37" s="3"/>
      <c r="I37" s="26"/>
      <c r="J37" s="3"/>
      <c r="K37" s="3"/>
      <c r="L37" s="3"/>
      <c r="M37" s="3"/>
      <c r="N37" s="3"/>
      <c r="O37" s="3"/>
      <c r="P37" s="3"/>
    </row>
    <row r="38" spans="1:16" ht="14.25">
      <c r="A38" s="3"/>
      <c r="B38" s="75" t="s">
        <v>55</v>
      </c>
      <c r="C38" s="3"/>
      <c r="D38" s="3"/>
      <c r="E38" s="3"/>
      <c r="F38" s="3"/>
      <c r="G38" s="26"/>
      <c r="H38" s="3"/>
      <c r="I38" s="26"/>
      <c r="J38" s="3"/>
      <c r="K38" s="3"/>
      <c r="L38" s="3"/>
      <c r="M38" s="3"/>
      <c r="N38" s="3"/>
      <c r="O38" s="3"/>
      <c r="P38" s="3"/>
    </row>
    <row r="39" spans="1:16" ht="14.25">
      <c r="A39" s="3"/>
      <c r="B39" s="75" t="s">
        <v>160</v>
      </c>
      <c r="C39" s="3"/>
      <c r="D39" s="3"/>
      <c r="E39" s="3"/>
      <c r="F39" s="3"/>
      <c r="G39" s="26"/>
      <c r="H39" s="3"/>
      <c r="I39" s="26"/>
      <c r="J39" s="57"/>
      <c r="K39" s="57"/>
      <c r="L39" s="3"/>
      <c r="M39" s="13"/>
      <c r="N39" s="3"/>
      <c r="O39" s="57"/>
      <c r="P39" s="3"/>
    </row>
    <row r="40" spans="1:16" ht="14.25">
      <c r="A40" s="3"/>
      <c r="B40" s="75" t="s">
        <v>52</v>
      </c>
      <c r="C40" s="3"/>
      <c r="D40" s="3"/>
      <c r="E40" s="3"/>
      <c r="F40" s="3"/>
      <c r="G40" s="26"/>
      <c r="H40" s="3"/>
      <c r="I40" s="26"/>
      <c r="J40" s="57"/>
      <c r="K40" s="57"/>
      <c r="L40" s="3"/>
      <c r="M40" s="13"/>
      <c r="N40" s="3"/>
      <c r="O40" s="57"/>
      <c r="P40" s="3"/>
    </row>
    <row r="41" spans="1:16" ht="26.25" customHeight="1">
      <c r="A41" s="3"/>
      <c r="B41" s="163" t="s">
        <v>109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3"/>
    </row>
    <row r="42" spans="1:16" ht="14.25">
      <c r="A42" s="3"/>
      <c r="B42" s="75" t="s">
        <v>9</v>
      </c>
      <c r="C42" s="3"/>
      <c r="D42" s="3"/>
      <c r="E42" s="3"/>
      <c r="F42" s="3"/>
      <c r="G42" s="26"/>
      <c r="H42" s="3"/>
      <c r="I42" s="26"/>
      <c r="J42" s="57"/>
      <c r="K42" s="57"/>
      <c r="L42" s="3"/>
      <c r="M42" s="13"/>
      <c r="N42" s="3"/>
      <c r="O42" s="57"/>
      <c r="P42" s="3"/>
    </row>
    <row r="43" spans="1:16" ht="14.25">
      <c r="A43" s="3"/>
      <c r="B43" s="163" t="s">
        <v>38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</row>
  </sheetData>
  <sheetProtection/>
  <mergeCells count="10">
    <mergeCell ref="A8:A9"/>
    <mergeCell ref="C8:C9"/>
    <mergeCell ref="B43:P43"/>
    <mergeCell ref="I5:I9"/>
    <mergeCell ref="K4:K9"/>
    <mergeCell ref="B41:O41"/>
    <mergeCell ref="M5:M9"/>
    <mergeCell ref="O5:O9"/>
    <mergeCell ref="E6:E9"/>
    <mergeCell ref="G6:G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G40" sqref="G40"/>
    </sheetView>
  </sheetViews>
  <sheetFormatPr defaultColWidth="9.140625" defaultRowHeight="15"/>
  <cols>
    <col min="1" max="1" width="4.8515625" style="188" customWidth="1"/>
    <col min="2" max="2" width="1.28515625" style="188" customWidth="1"/>
    <col min="3" max="3" width="8.7109375" style="188" customWidth="1"/>
    <col min="4" max="4" width="2.00390625" style="188" customWidth="1"/>
    <col min="5" max="5" width="9.421875" style="188" customWidth="1"/>
    <col min="6" max="6" width="1.421875" style="188" customWidth="1"/>
    <col min="7" max="7" width="7.00390625" style="188" customWidth="1"/>
    <col min="8" max="8" width="1.1484375" style="188" customWidth="1"/>
    <col min="9" max="9" width="7.8515625" style="188" customWidth="1"/>
    <col min="10" max="10" width="1.28515625" style="188" customWidth="1"/>
    <col min="11" max="11" width="8.57421875" style="189" customWidth="1"/>
    <col min="12" max="12" width="1.1484375" style="188" customWidth="1"/>
    <col min="13" max="13" width="10.57421875" style="188" customWidth="1"/>
    <col min="14" max="14" width="1.28515625" style="188" customWidth="1"/>
    <col min="15" max="15" width="9.28125" style="188" customWidth="1"/>
    <col min="16" max="16" width="2.421875" style="188" customWidth="1"/>
    <col min="17" max="17" width="8.421875" style="188" customWidth="1"/>
    <col min="18" max="18" width="2.140625" style="188" customWidth="1"/>
    <col min="19" max="19" width="3.28125" style="188" customWidth="1"/>
    <col min="20" max="16384" width="8.8515625" style="188" customWidth="1"/>
  </cols>
  <sheetData>
    <row r="1" spans="1:9" ht="23.25">
      <c r="A1" s="187" t="s">
        <v>0</v>
      </c>
      <c r="G1" s="189"/>
      <c r="H1" s="189"/>
      <c r="I1" s="189"/>
    </row>
    <row r="2" spans="1:9" ht="14.25">
      <c r="A2" s="188" t="s">
        <v>172</v>
      </c>
      <c r="G2" s="189"/>
      <c r="H2" s="189"/>
      <c r="I2" s="189"/>
    </row>
    <row r="3" spans="1:9" ht="14.25">
      <c r="A3" s="190" t="s">
        <v>57</v>
      </c>
      <c r="G3" s="189"/>
      <c r="H3" s="189"/>
      <c r="I3" s="189"/>
    </row>
    <row r="4" spans="1:18" ht="15" customHeight="1">
      <c r="A4" s="191"/>
      <c r="B4" s="192"/>
      <c r="C4" s="192"/>
      <c r="D4" s="192"/>
      <c r="E4" s="192"/>
      <c r="F4" s="192"/>
      <c r="G4" s="193"/>
      <c r="H4" s="193"/>
      <c r="I4" s="193"/>
      <c r="J4" s="192"/>
      <c r="K4" s="193"/>
      <c r="L4" s="192"/>
      <c r="N4" s="192"/>
      <c r="O4" s="192"/>
      <c r="P4" s="192"/>
      <c r="Q4" s="192"/>
      <c r="R4" s="194"/>
    </row>
    <row r="5" spans="1:18" ht="9.75" customHeight="1">
      <c r="A5" s="192"/>
      <c r="B5" s="192"/>
      <c r="C5" s="192"/>
      <c r="D5" s="192"/>
      <c r="E5" s="192"/>
      <c r="F5" s="192"/>
      <c r="G5" s="193"/>
      <c r="H5" s="193"/>
      <c r="I5" s="193"/>
      <c r="J5" s="192"/>
      <c r="K5" s="193"/>
      <c r="L5" s="195"/>
      <c r="M5" s="196" t="s">
        <v>59</v>
      </c>
      <c r="N5" s="192"/>
      <c r="O5" s="197"/>
      <c r="P5" s="192"/>
      <c r="Q5" s="195"/>
      <c r="R5" s="194"/>
    </row>
    <row r="6" spans="1:18" ht="15" customHeight="1">
      <c r="A6" s="192"/>
      <c r="B6" s="191"/>
      <c r="C6" s="191"/>
      <c r="D6" s="191"/>
      <c r="E6" s="198"/>
      <c r="F6" s="191"/>
      <c r="G6" s="199"/>
      <c r="H6" s="199"/>
      <c r="I6" s="199"/>
      <c r="J6" s="191"/>
      <c r="K6" s="200" t="s">
        <v>58</v>
      </c>
      <c r="L6" s="201"/>
      <c r="M6" s="196"/>
      <c r="N6" s="202"/>
      <c r="O6" s="203" t="s">
        <v>51</v>
      </c>
      <c r="P6" s="204"/>
      <c r="Q6" s="196" t="s">
        <v>50</v>
      </c>
      <c r="R6" s="194"/>
    </row>
    <row r="7" spans="1:18" ht="15" customHeight="1">
      <c r="A7" s="191"/>
      <c r="B7" s="191"/>
      <c r="C7" s="191"/>
      <c r="D7" s="191"/>
      <c r="E7" s="205" t="s">
        <v>31</v>
      </c>
      <c r="F7" s="206"/>
      <c r="G7" s="207" t="s">
        <v>49</v>
      </c>
      <c r="H7" s="208"/>
      <c r="I7" s="207" t="s">
        <v>21</v>
      </c>
      <c r="J7" s="206"/>
      <c r="K7" s="200"/>
      <c r="L7" s="201"/>
      <c r="M7" s="196"/>
      <c r="N7" s="209"/>
      <c r="O7" s="203"/>
      <c r="P7" s="204"/>
      <c r="Q7" s="196"/>
      <c r="R7" s="194"/>
    </row>
    <row r="8" spans="1:18" ht="14.25">
      <c r="A8" s="191"/>
      <c r="B8" s="191"/>
      <c r="C8" s="191"/>
      <c r="D8" s="191"/>
      <c r="E8" s="205"/>
      <c r="F8" s="206"/>
      <c r="G8" s="207"/>
      <c r="H8" s="208"/>
      <c r="I8" s="207"/>
      <c r="J8" s="206"/>
      <c r="K8" s="200"/>
      <c r="L8" s="201"/>
      <c r="M8" s="196"/>
      <c r="N8" s="209"/>
      <c r="O8" s="203"/>
      <c r="P8" s="204"/>
      <c r="Q8" s="196"/>
      <c r="R8" s="194"/>
    </row>
    <row r="9" spans="1:18" ht="14.25">
      <c r="A9" s="210" t="s">
        <v>12</v>
      </c>
      <c r="B9" s="191"/>
      <c r="C9" s="210" t="s">
        <v>3</v>
      </c>
      <c r="D9" s="191"/>
      <c r="E9" s="205"/>
      <c r="F9" s="206"/>
      <c r="G9" s="207"/>
      <c r="H9" s="208"/>
      <c r="I9" s="207"/>
      <c r="J9" s="206"/>
      <c r="K9" s="200"/>
      <c r="L9" s="201"/>
      <c r="M9" s="196"/>
      <c r="N9" s="209"/>
      <c r="O9" s="203"/>
      <c r="P9" s="204"/>
      <c r="Q9" s="196"/>
      <c r="R9" s="194"/>
    </row>
    <row r="10" spans="1:18" ht="15" thickBot="1">
      <c r="A10" s="211"/>
      <c r="B10" s="212"/>
      <c r="C10" s="211"/>
      <c r="D10" s="212"/>
      <c r="E10" s="213"/>
      <c r="F10" s="214"/>
      <c r="G10" s="215"/>
      <c r="H10" s="216"/>
      <c r="I10" s="215"/>
      <c r="J10" s="214"/>
      <c r="K10" s="217"/>
      <c r="L10" s="218"/>
      <c r="M10" s="219"/>
      <c r="N10" s="220"/>
      <c r="O10" s="221"/>
      <c r="P10" s="222"/>
      <c r="Q10" s="219"/>
      <c r="R10" s="194"/>
    </row>
    <row r="11" spans="1:18" ht="12" customHeight="1">
      <c r="A11" s="192"/>
      <c r="B11" s="192"/>
      <c r="C11" s="192"/>
      <c r="D11" s="192"/>
      <c r="E11" s="192"/>
      <c r="F11" s="192"/>
      <c r="G11" s="193"/>
      <c r="H11" s="193"/>
      <c r="I11" s="193"/>
      <c r="J11" s="192"/>
      <c r="K11" s="193"/>
      <c r="L11" s="195"/>
      <c r="M11" s="195"/>
      <c r="N11" s="192"/>
      <c r="O11" s="197"/>
      <c r="P11" s="192"/>
      <c r="Q11" s="195"/>
      <c r="R11" s="194"/>
    </row>
    <row r="12" spans="1:18" ht="12" customHeight="1">
      <c r="A12" s="192">
        <v>1</v>
      </c>
      <c r="B12" s="192"/>
      <c r="C12" s="192">
        <v>2018</v>
      </c>
      <c r="D12" s="192"/>
      <c r="E12" s="193">
        <v>9216000</v>
      </c>
      <c r="F12" s="192"/>
      <c r="G12" s="193">
        <f>SUM(E12/1600)</f>
        <v>5760</v>
      </c>
      <c r="H12" s="193"/>
      <c r="I12" s="192">
        <v>96</v>
      </c>
      <c r="J12" s="192"/>
      <c r="K12" s="193">
        <f>SUM(I12*56)</f>
        <v>5376</v>
      </c>
      <c r="L12" s="195"/>
      <c r="M12" s="195">
        <f>K12*51.21</f>
        <v>275304.96</v>
      </c>
      <c r="N12" s="192"/>
      <c r="O12" s="197">
        <f>SUM(M12/(1.07)^A12)</f>
        <v>257294.35514018693</v>
      </c>
      <c r="P12" s="192"/>
      <c r="Q12" s="195">
        <f>SUM(M12/(1.03)^A12)</f>
        <v>267286.36893203884</v>
      </c>
      <c r="R12" s="194"/>
    </row>
    <row r="13" spans="1:18" ht="12" customHeight="1">
      <c r="A13" s="192">
        <v>2</v>
      </c>
      <c r="B13" s="192"/>
      <c r="C13" s="192">
        <v>2019</v>
      </c>
      <c r="D13" s="192"/>
      <c r="E13" s="193">
        <v>9216000</v>
      </c>
      <c r="F13" s="192"/>
      <c r="G13" s="193">
        <f aca="true" t="shared" si="0" ref="G13:G31">SUM(E13/1600)</f>
        <v>5760</v>
      </c>
      <c r="H13" s="193"/>
      <c r="I13" s="192">
        <v>96</v>
      </c>
      <c r="J13" s="192"/>
      <c r="K13" s="193">
        <f aca="true" t="shared" si="1" ref="K13:K31">SUM(I13*56)</f>
        <v>5376</v>
      </c>
      <c r="L13" s="195"/>
      <c r="M13" s="195">
        <f aca="true" t="shared" si="2" ref="M13:M31">K13*51.21</f>
        <v>275304.96</v>
      </c>
      <c r="N13" s="192"/>
      <c r="O13" s="197">
        <f aca="true" t="shared" si="3" ref="O13:O31">SUM(M13/(1.07)^A13)</f>
        <v>240462.01414970742</v>
      </c>
      <c r="P13" s="192"/>
      <c r="Q13" s="195">
        <f aca="true" t="shared" si="4" ref="Q13:Q31">SUM(M13/(1.03)^A13)</f>
        <v>259501.32906023192</v>
      </c>
      <c r="R13" s="194"/>
    </row>
    <row r="14" spans="1:18" ht="12" customHeight="1">
      <c r="A14" s="192">
        <v>3</v>
      </c>
      <c r="B14" s="192"/>
      <c r="C14" s="192">
        <v>2020</v>
      </c>
      <c r="D14" s="192"/>
      <c r="E14" s="193">
        <v>9216000</v>
      </c>
      <c r="F14" s="192"/>
      <c r="G14" s="193">
        <f t="shared" si="0"/>
        <v>5760</v>
      </c>
      <c r="H14" s="193"/>
      <c r="I14" s="192">
        <v>96</v>
      </c>
      <c r="J14" s="192"/>
      <c r="K14" s="193">
        <f t="shared" si="1"/>
        <v>5376</v>
      </c>
      <c r="L14" s="195"/>
      <c r="M14" s="195">
        <f t="shared" si="2"/>
        <v>275304.96</v>
      </c>
      <c r="N14" s="192"/>
      <c r="O14" s="197">
        <f t="shared" si="3"/>
        <v>224730.85434552093</v>
      </c>
      <c r="P14" s="192"/>
      <c r="Q14" s="195">
        <f t="shared" si="4"/>
        <v>251943.03792255523</v>
      </c>
      <c r="R14" s="194"/>
    </row>
    <row r="15" spans="1:18" ht="12" customHeight="1">
      <c r="A15" s="192">
        <v>4</v>
      </c>
      <c r="B15" s="192"/>
      <c r="C15" s="192">
        <v>2021</v>
      </c>
      <c r="D15" s="192"/>
      <c r="E15" s="193">
        <v>9216000</v>
      </c>
      <c r="F15" s="192"/>
      <c r="G15" s="193">
        <f t="shared" si="0"/>
        <v>5760</v>
      </c>
      <c r="H15" s="193"/>
      <c r="I15" s="192">
        <v>96</v>
      </c>
      <c r="J15" s="192"/>
      <c r="K15" s="193">
        <f t="shared" si="1"/>
        <v>5376</v>
      </c>
      <c r="L15" s="195"/>
      <c r="M15" s="195">
        <f t="shared" si="2"/>
        <v>275304.96</v>
      </c>
      <c r="N15" s="192"/>
      <c r="O15" s="197">
        <f t="shared" si="3"/>
        <v>210028.83583693547</v>
      </c>
      <c r="P15" s="192"/>
      <c r="Q15" s="195">
        <f t="shared" si="4"/>
        <v>244604.89118694686</v>
      </c>
      <c r="R15" s="194"/>
    </row>
    <row r="16" spans="1:18" ht="12" customHeight="1">
      <c r="A16" s="192">
        <v>5</v>
      </c>
      <c r="B16" s="192"/>
      <c r="C16" s="192">
        <v>2022</v>
      </c>
      <c r="D16" s="192"/>
      <c r="E16" s="193">
        <v>18432000</v>
      </c>
      <c r="F16" s="192"/>
      <c r="G16" s="193">
        <f t="shared" si="0"/>
        <v>11520</v>
      </c>
      <c r="H16" s="193"/>
      <c r="I16" s="192">
        <v>192</v>
      </c>
      <c r="J16" s="192"/>
      <c r="K16" s="193">
        <f t="shared" si="1"/>
        <v>10752</v>
      </c>
      <c r="L16" s="195"/>
      <c r="M16" s="195">
        <f t="shared" si="2"/>
        <v>550609.92</v>
      </c>
      <c r="N16" s="192"/>
      <c r="O16" s="197">
        <f t="shared" si="3"/>
        <v>392577.2632466083</v>
      </c>
      <c r="P16" s="192"/>
      <c r="Q16" s="195">
        <f t="shared" si="4"/>
        <v>474960.9537610619</v>
      </c>
      <c r="R16" s="194"/>
    </row>
    <row r="17" spans="1:18" ht="12" customHeight="1">
      <c r="A17" s="192">
        <v>6</v>
      </c>
      <c r="B17" s="192"/>
      <c r="C17" s="192">
        <v>2023</v>
      </c>
      <c r="D17" s="192"/>
      <c r="E17" s="193">
        <v>18432000</v>
      </c>
      <c r="F17" s="192"/>
      <c r="G17" s="193">
        <f t="shared" si="0"/>
        <v>11520</v>
      </c>
      <c r="H17" s="193"/>
      <c r="I17" s="192">
        <v>192</v>
      </c>
      <c r="J17" s="192"/>
      <c r="K17" s="193">
        <f t="shared" si="1"/>
        <v>10752</v>
      </c>
      <c r="L17" s="195"/>
      <c r="M17" s="195">
        <f t="shared" si="2"/>
        <v>550609.92</v>
      </c>
      <c r="N17" s="192"/>
      <c r="O17" s="197">
        <f t="shared" si="3"/>
        <v>366894.6385482321</v>
      </c>
      <c r="P17" s="192"/>
      <c r="Q17" s="195">
        <f t="shared" si="4"/>
        <v>461127.1395738465</v>
      </c>
      <c r="R17" s="194"/>
    </row>
    <row r="18" spans="1:18" ht="12" customHeight="1">
      <c r="A18" s="192">
        <v>7</v>
      </c>
      <c r="B18" s="192"/>
      <c r="C18" s="192">
        <v>2024</v>
      </c>
      <c r="D18" s="192"/>
      <c r="E18" s="193">
        <v>18432000</v>
      </c>
      <c r="F18" s="192"/>
      <c r="G18" s="193">
        <f t="shared" si="0"/>
        <v>11520</v>
      </c>
      <c r="H18" s="193"/>
      <c r="I18" s="192">
        <v>192</v>
      </c>
      <c r="J18" s="192"/>
      <c r="K18" s="193">
        <f t="shared" si="1"/>
        <v>10752</v>
      </c>
      <c r="L18" s="195"/>
      <c r="M18" s="195">
        <f t="shared" si="2"/>
        <v>550609.92</v>
      </c>
      <c r="N18" s="192"/>
      <c r="O18" s="197">
        <f t="shared" si="3"/>
        <v>342892.1855590954</v>
      </c>
      <c r="P18" s="192"/>
      <c r="Q18" s="195">
        <f t="shared" si="4"/>
        <v>447696.25201344315</v>
      </c>
      <c r="R18" s="194"/>
    </row>
    <row r="19" spans="1:18" ht="12" customHeight="1">
      <c r="A19" s="192">
        <v>8</v>
      </c>
      <c r="B19" s="192"/>
      <c r="C19" s="192">
        <v>2025</v>
      </c>
      <c r="D19" s="192"/>
      <c r="E19" s="193">
        <v>19200000</v>
      </c>
      <c r="F19" s="192"/>
      <c r="G19" s="193">
        <f t="shared" si="0"/>
        <v>12000</v>
      </c>
      <c r="H19" s="193"/>
      <c r="I19" s="192">
        <v>200</v>
      </c>
      <c r="J19" s="192"/>
      <c r="K19" s="193">
        <f t="shared" si="1"/>
        <v>11200</v>
      </c>
      <c r="L19" s="195"/>
      <c r="M19" s="195">
        <f t="shared" si="2"/>
        <v>573552</v>
      </c>
      <c r="N19" s="192"/>
      <c r="O19" s="197">
        <f t="shared" si="3"/>
        <v>333812.4859414869</v>
      </c>
      <c r="P19" s="192"/>
      <c r="Q19" s="195">
        <f t="shared" si="4"/>
        <v>452767.24515922647</v>
      </c>
      <c r="R19" s="194"/>
    </row>
    <row r="20" spans="1:18" ht="12" customHeight="1">
      <c r="A20" s="192">
        <v>9</v>
      </c>
      <c r="B20" s="192"/>
      <c r="C20" s="192">
        <v>2026</v>
      </c>
      <c r="D20" s="192"/>
      <c r="E20" s="193">
        <v>19200000</v>
      </c>
      <c r="F20" s="192"/>
      <c r="G20" s="193">
        <f t="shared" si="0"/>
        <v>12000</v>
      </c>
      <c r="H20" s="193"/>
      <c r="I20" s="192">
        <v>200</v>
      </c>
      <c r="J20" s="192"/>
      <c r="K20" s="193">
        <f t="shared" si="1"/>
        <v>11200</v>
      </c>
      <c r="L20" s="195"/>
      <c r="M20" s="195">
        <f t="shared" si="2"/>
        <v>573552</v>
      </c>
      <c r="N20" s="192"/>
      <c r="O20" s="197">
        <f t="shared" si="3"/>
        <v>311974.28592662327</v>
      </c>
      <c r="P20" s="192"/>
      <c r="Q20" s="195">
        <f t="shared" si="4"/>
        <v>439579.84966915194</v>
      </c>
      <c r="R20" s="194"/>
    </row>
    <row r="21" spans="1:18" ht="12" customHeight="1">
      <c r="A21" s="192">
        <v>10</v>
      </c>
      <c r="B21" s="192"/>
      <c r="C21" s="192">
        <v>2027</v>
      </c>
      <c r="D21" s="192"/>
      <c r="E21" s="193">
        <v>19968000</v>
      </c>
      <c r="F21" s="192"/>
      <c r="G21" s="193">
        <f t="shared" si="0"/>
        <v>12480</v>
      </c>
      <c r="H21" s="193"/>
      <c r="I21" s="192">
        <v>208</v>
      </c>
      <c r="J21" s="192"/>
      <c r="K21" s="193">
        <f t="shared" si="1"/>
        <v>11648</v>
      </c>
      <c r="L21" s="195"/>
      <c r="M21" s="195">
        <f t="shared" si="2"/>
        <v>596494.08</v>
      </c>
      <c r="N21" s="192"/>
      <c r="O21" s="197">
        <f t="shared" si="3"/>
        <v>303227.3433305497</v>
      </c>
      <c r="P21" s="192"/>
      <c r="Q21" s="195">
        <f t="shared" si="4"/>
        <v>443847.6151999204</v>
      </c>
      <c r="R21" s="194"/>
    </row>
    <row r="22" spans="1:18" ht="12" customHeight="1">
      <c r="A22" s="192">
        <v>11</v>
      </c>
      <c r="B22" s="192"/>
      <c r="C22" s="192">
        <v>2028</v>
      </c>
      <c r="D22" s="192"/>
      <c r="E22" s="193">
        <v>20736000</v>
      </c>
      <c r="F22" s="192"/>
      <c r="G22" s="193">
        <f t="shared" si="0"/>
        <v>12960</v>
      </c>
      <c r="H22" s="193"/>
      <c r="I22" s="192">
        <v>216</v>
      </c>
      <c r="J22" s="192"/>
      <c r="K22" s="193">
        <f t="shared" si="1"/>
        <v>12096</v>
      </c>
      <c r="L22" s="195"/>
      <c r="M22" s="195">
        <f t="shared" si="2"/>
        <v>619436.16</v>
      </c>
      <c r="N22" s="192"/>
      <c r="O22" s="197">
        <f t="shared" si="3"/>
        <v>294289.65743798856</v>
      </c>
      <c r="P22" s="192"/>
      <c r="Q22" s="195">
        <f t="shared" si="4"/>
        <v>447493.8614786352</v>
      </c>
      <c r="R22" s="194"/>
    </row>
    <row r="23" spans="1:18" ht="12" customHeight="1">
      <c r="A23" s="192">
        <v>12</v>
      </c>
      <c r="B23" s="192"/>
      <c r="C23" s="192">
        <v>2029</v>
      </c>
      <c r="D23" s="192"/>
      <c r="E23" s="193">
        <v>20736000</v>
      </c>
      <c r="F23" s="192"/>
      <c r="G23" s="193">
        <f t="shared" si="0"/>
        <v>12960</v>
      </c>
      <c r="H23" s="193"/>
      <c r="I23" s="192">
        <v>216</v>
      </c>
      <c r="J23" s="192"/>
      <c r="K23" s="193">
        <f t="shared" si="1"/>
        <v>12096</v>
      </c>
      <c r="L23" s="195"/>
      <c r="M23" s="195">
        <f t="shared" si="2"/>
        <v>619436.16</v>
      </c>
      <c r="N23" s="192"/>
      <c r="O23" s="197">
        <f t="shared" si="3"/>
        <v>275037.0630261576</v>
      </c>
      <c r="P23" s="192"/>
      <c r="Q23" s="195">
        <f t="shared" si="4"/>
        <v>434460.0596879954</v>
      </c>
      <c r="R23" s="194"/>
    </row>
    <row r="24" spans="1:18" ht="12" customHeight="1">
      <c r="A24" s="192">
        <v>13</v>
      </c>
      <c r="B24" s="192"/>
      <c r="C24" s="192">
        <v>2030</v>
      </c>
      <c r="D24" s="192"/>
      <c r="E24" s="193">
        <v>20736000</v>
      </c>
      <c r="F24" s="192"/>
      <c r="G24" s="193">
        <f t="shared" si="0"/>
        <v>12960</v>
      </c>
      <c r="H24" s="193"/>
      <c r="I24" s="192">
        <v>216</v>
      </c>
      <c r="J24" s="192"/>
      <c r="K24" s="193">
        <f t="shared" si="1"/>
        <v>12096</v>
      </c>
      <c r="L24" s="195"/>
      <c r="M24" s="195">
        <f t="shared" si="2"/>
        <v>619436.16</v>
      </c>
      <c r="N24" s="192"/>
      <c r="O24" s="197">
        <f t="shared" si="3"/>
        <v>257043.98413659586</v>
      </c>
      <c r="P24" s="192"/>
      <c r="Q24" s="195">
        <f t="shared" si="4"/>
        <v>421805.88319222856</v>
      </c>
      <c r="R24" s="194"/>
    </row>
    <row r="25" spans="1:18" ht="12" customHeight="1">
      <c r="A25" s="192">
        <v>14</v>
      </c>
      <c r="B25" s="192"/>
      <c r="C25" s="192">
        <v>2031</v>
      </c>
      <c r="D25" s="192"/>
      <c r="E25" s="193">
        <v>20736000</v>
      </c>
      <c r="F25" s="192"/>
      <c r="G25" s="193">
        <f t="shared" si="0"/>
        <v>12960</v>
      </c>
      <c r="H25" s="193"/>
      <c r="I25" s="192">
        <v>216</v>
      </c>
      <c r="J25" s="192"/>
      <c r="K25" s="193">
        <f t="shared" si="1"/>
        <v>12096</v>
      </c>
      <c r="L25" s="195"/>
      <c r="M25" s="195">
        <f t="shared" si="2"/>
        <v>619436.16</v>
      </c>
      <c r="N25" s="192"/>
      <c r="O25" s="197">
        <f t="shared" si="3"/>
        <v>240228.02255756623</v>
      </c>
      <c r="P25" s="192"/>
      <c r="Q25" s="195">
        <f t="shared" si="4"/>
        <v>409520.2749439112</v>
      </c>
      <c r="R25" s="194"/>
    </row>
    <row r="26" spans="1:18" ht="12" customHeight="1">
      <c r="A26" s="192">
        <v>15</v>
      </c>
      <c r="B26" s="192"/>
      <c r="C26" s="192">
        <v>2032</v>
      </c>
      <c r="D26" s="192"/>
      <c r="E26" s="193">
        <v>21504000</v>
      </c>
      <c r="F26" s="192"/>
      <c r="G26" s="193">
        <f t="shared" si="0"/>
        <v>13440</v>
      </c>
      <c r="H26" s="193"/>
      <c r="I26" s="192">
        <v>224</v>
      </c>
      <c r="J26" s="192"/>
      <c r="K26" s="193">
        <f t="shared" si="1"/>
        <v>12544</v>
      </c>
      <c r="L26" s="195"/>
      <c r="M26" s="195">
        <f t="shared" si="2"/>
        <v>642378.24</v>
      </c>
      <c r="N26" s="192"/>
      <c r="O26" s="197">
        <f t="shared" si="3"/>
        <v>232827.43619286444</v>
      </c>
      <c r="P26" s="192"/>
      <c r="Q26" s="195">
        <f t="shared" si="4"/>
        <v>412318.14809167606</v>
      </c>
      <c r="R26" s="194"/>
    </row>
    <row r="27" spans="1:18" ht="12" customHeight="1">
      <c r="A27" s="192">
        <v>16</v>
      </c>
      <c r="B27" s="192"/>
      <c r="C27" s="192">
        <v>2033</v>
      </c>
      <c r="D27" s="192"/>
      <c r="E27" s="193">
        <v>21504000</v>
      </c>
      <c r="F27" s="192"/>
      <c r="G27" s="193">
        <f t="shared" si="0"/>
        <v>13440</v>
      </c>
      <c r="H27" s="193"/>
      <c r="I27" s="192">
        <v>224</v>
      </c>
      <c r="J27" s="192"/>
      <c r="K27" s="193">
        <f t="shared" si="1"/>
        <v>12544</v>
      </c>
      <c r="L27" s="195"/>
      <c r="M27" s="195">
        <f t="shared" si="2"/>
        <v>642378.24</v>
      </c>
      <c r="N27" s="192"/>
      <c r="O27" s="197">
        <f t="shared" si="3"/>
        <v>217595.73475968643</v>
      </c>
      <c r="P27" s="192"/>
      <c r="Q27" s="195">
        <f t="shared" si="4"/>
        <v>400308.881642404</v>
      </c>
      <c r="R27" s="194"/>
    </row>
    <row r="28" spans="1:18" ht="12" customHeight="1">
      <c r="A28" s="192">
        <v>17</v>
      </c>
      <c r="B28" s="192"/>
      <c r="C28" s="192">
        <v>2034</v>
      </c>
      <c r="D28" s="192"/>
      <c r="E28" s="193">
        <v>21504000</v>
      </c>
      <c r="F28" s="192"/>
      <c r="G28" s="193">
        <f t="shared" si="0"/>
        <v>13440</v>
      </c>
      <c r="H28" s="193"/>
      <c r="I28" s="192">
        <v>224</v>
      </c>
      <c r="J28" s="192"/>
      <c r="K28" s="193">
        <f t="shared" si="1"/>
        <v>12544</v>
      </c>
      <c r="L28" s="195"/>
      <c r="M28" s="195">
        <f t="shared" si="2"/>
        <v>642378.24</v>
      </c>
      <c r="N28" s="192"/>
      <c r="O28" s="197">
        <f t="shared" si="3"/>
        <v>203360.49977540786</v>
      </c>
      <c r="P28" s="192"/>
      <c r="Q28" s="195">
        <f t="shared" si="4"/>
        <v>388649.39965281944</v>
      </c>
      <c r="R28" s="194"/>
    </row>
    <row r="29" spans="1:18" ht="12" customHeight="1">
      <c r="A29" s="192">
        <v>18</v>
      </c>
      <c r="B29" s="192"/>
      <c r="C29" s="192">
        <v>2035</v>
      </c>
      <c r="D29" s="192"/>
      <c r="E29" s="193">
        <v>22176000</v>
      </c>
      <c r="F29" s="192"/>
      <c r="G29" s="193">
        <f t="shared" si="0"/>
        <v>13860</v>
      </c>
      <c r="H29" s="193"/>
      <c r="I29" s="192">
        <v>231</v>
      </c>
      <c r="J29" s="192"/>
      <c r="K29" s="193">
        <f t="shared" si="1"/>
        <v>12936</v>
      </c>
      <c r="L29" s="195"/>
      <c r="M29" s="195">
        <f t="shared" si="2"/>
        <v>662452.56</v>
      </c>
      <c r="N29" s="192"/>
      <c r="O29" s="197">
        <f t="shared" si="3"/>
        <v>195995.80877886858</v>
      </c>
      <c r="P29" s="192"/>
      <c r="Q29" s="195">
        <f t="shared" si="4"/>
        <v>389121.06154560205</v>
      </c>
      <c r="R29" s="194"/>
    </row>
    <row r="30" spans="1:18" ht="12" customHeight="1">
      <c r="A30" s="192">
        <v>19</v>
      </c>
      <c r="B30" s="192"/>
      <c r="C30" s="192">
        <v>2036</v>
      </c>
      <c r="D30" s="192"/>
      <c r="E30" s="193">
        <v>22176000</v>
      </c>
      <c r="F30" s="192"/>
      <c r="G30" s="193">
        <f t="shared" si="0"/>
        <v>13860</v>
      </c>
      <c r="H30" s="193"/>
      <c r="I30" s="192">
        <v>231</v>
      </c>
      <c r="J30" s="192"/>
      <c r="K30" s="193">
        <f t="shared" si="1"/>
        <v>12936</v>
      </c>
      <c r="L30" s="195"/>
      <c r="M30" s="195">
        <f t="shared" si="2"/>
        <v>662452.56</v>
      </c>
      <c r="N30" s="192"/>
      <c r="O30" s="197">
        <f t="shared" si="3"/>
        <v>183173.65306436314</v>
      </c>
      <c r="P30" s="192"/>
      <c r="Q30" s="195">
        <f t="shared" si="4"/>
        <v>377787.4383937884</v>
      </c>
      <c r="R30" s="194"/>
    </row>
    <row r="31" spans="1:18" ht="12" customHeight="1">
      <c r="A31" s="192">
        <v>20</v>
      </c>
      <c r="B31" s="192"/>
      <c r="C31" s="192">
        <v>2037</v>
      </c>
      <c r="D31" s="223"/>
      <c r="E31" s="224">
        <v>22176000</v>
      </c>
      <c r="F31" s="223"/>
      <c r="G31" s="224">
        <f t="shared" si="0"/>
        <v>13860</v>
      </c>
      <c r="H31" s="224"/>
      <c r="I31" s="223">
        <v>231</v>
      </c>
      <c r="J31" s="223"/>
      <c r="K31" s="224">
        <f t="shared" si="1"/>
        <v>12936</v>
      </c>
      <c r="L31" s="225"/>
      <c r="M31" s="225">
        <f t="shared" si="2"/>
        <v>662452.56</v>
      </c>
      <c r="N31" s="223"/>
      <c r="O31" s="226">
        <f t="shared" si="3"/>
        <v>171190.32996669452</v>
      </c>
      <c r="P31" s="223"/>
      <c r="Q31" s="225">
        <f t="shared" si="4"/>
        <v>366783.92077066837</v>
      </c>
      <c r="R31" s="194"/>
    </row>
    <row r="32" spans="1:18" ht="9" customHeight="1">
      <c r="A32" s="192"/>
      <c r="B32" s="192"/>
      <c r="C32" s="192"/>
      <c r="D32" s="192"/>
      <c r="E32" s="192"/>
      <c r="F32" s="192"/>
      <c r="G32" s="193"/>
      <c r="H32" s="193"/>
      <c r="I32" s="193"/>
      <c r="J32" s="192"/>
      <c r="K32" s="193"/>
      <c r="L32" s="195"/>
      <c r="M32" s="195"/>
      <c r="N32" s="192"/>
      <c r="O32" s="197"/>
      <c r="P32" s="192"/>
      <c r="Q32" s="195"/>
      <c r="R32" s="194"/>
    </row>
    <row r="33" spans="1:18" ht="15" thickBot="1">
      <c r="A33" s="192"/>
      <c r="B33" s="192"/>
      <c r="C33" s="192"/>
      <c r="D33" s="192"/>
      <c r="E33" s="192"/>
      <c r="F33" s="192"/>
      <c r="G33" s="193"/>
      <c r="H33" s="193"/>
      <c r="I33" s="193"/>
      <c r="J33" s="191"/>
      <c r="K33" s="199"/>
      <c r="L33" s="227"/>
      <c r="M33" s="227">
        <f>SUM(M12:M32)</f>
        <v>10888884.720000003</v>
      </c>
      <c r="N33" s="227"/>
      <c r="O33" s="227">
        <f>SUM(O12:O31)</f>
        <v>5254636.451721139</v>
      </c>
      <c r="P33" s="227"/>
      <c r="Q33" s="227">
        <f>SUM(Q12:Q31)</f>
        <v>7791563.611878151</v>
      </c>
      <c r="R33" s="228"/>
    </row>
    <row r="34" spans="1:18" ht="9.75" customHeight="1" thickTop="1">
      <c r="A34" s="194"/>
      <c r="B34" s="194"/>
      <c r="C34" s="194"/>
      <c r="D34" s="194"/>
      <c r="E34" s="194"/>
      <c r="F34" s="194"/>
      <c r="G34" s="229"/>
      <c r="H34" s="229"/>
      <c r="I34" s="229"/>
      <c r="J34" s="194"/>
      <c r="K34" s="229"/>
      <c r="L34" s="230"/>
      <c r="M34" s="230"/>
      <c r="N34" s="194"/>
      <c r="O34" s="231"/>
      <c r="P34" s="194"/>
      <c r="Q34" s="230"/>
      <c r="R34" s="194"/>
    </row>
    <row r="35" spans="1:18" ht="14.25">
      <c r="A35" s="194"/>
      <c r="B35" s="232" t="s">
        <v>25</v>
      </c>
      <c r="C35" s="194"/>
      <c r="D35" s="194"/>
      <c r="E35" s="194"/>
      <c r="F35" s="194"/>
      <c r="G35" s="229"/>
      <c r="H35" s="229"/>
      <c r="I35" s="229"/>
      <c r="J35" s="194"/>
      <c r="K35" s="229"/>
      <c r="L35" s="230"/>
      <c r="M35" s="230"/>
      <c r="N35" s="194"/>
      <c r="O35" s="231"/>
      <c r="P35" s="194"/>
      <c r="Q35" s="230"/>
      <c r="R35" s="194"/>
    </row>
    <row r="36" spans="1:18" ht="14.25">
      <c r="A36" s="194"/>
      <c r="B36" s="233" t="s">
        <v>168</v>
      </c>
      <c r="C36" s="194"/>
      <c r="D36" s="194"/>
      <c r="E36" s="194"/>
      <c r="F36" s="194"/>
      <c r="G36" s="229"/>
      <c r="H36" s="229"/>
      <c r="I36" s="229"/>
      <c r="J36" s="194"/>
      <c r="K36" s="229"/>
      <c r="L36" s="230"/>
      <c r="M36" s="230"/>
      <c r="N36" s="194"/>
      <c r="O36" s="231"/>
      <c r="P36" s="194"/>
      <c r="Q36" s="230"/>
      <c r="R36" s="194"/>
    </row>
    <row r="37" spans="1:18" ht="14.25">
      <c r="A37" s="194"/>
      <c r="B37" s="234" t="s">
        <v>127</v>
      </c>
      <c r="C37" s="194"/>
      <c r="D37" s="194"/>
      <c r="E37" s="194"/>
      <c r="F37" s="194"/>
      <c r="G37" s="229"/>
      <c r="H37" s="229"/>
      <c r="I37" s="229"/>
      <c r="J37" s="194"/>
      <c r="K37" s="229"/>
      <c r="L37" s="230"/>
      <c r="M37" s="230"/>
      <c r="N37" s="194"/>
      <c r="O37" s="231"/>
      <c r="P37" s="194"/>
      <c r="Q37" s="230"/>
      <c r="R37" s="194"/>
    </row>
    <row r="38" spans="1:18" ht="14.25">
      <c r="A38" s="194"/>
      <c r="B38" s="234" t="s">
        <v>128</v>
      </c>
      <c r="C38" s="194"/>
      <c r="D38" s="194"/>
      <c r="E38" s="194"/>
      <c r="F38" s="194"/>
      <c r="G38" s="229"/>
      <c r="H38" s="229"/>
      <c r="I38" s="229"/>
      <c r="J38" s="194"/>
      <c r="K38" s="229"/>
      <c r="L38" s="230"/>
      <c r="M38" s="230"/>
      <c r="N38" s="194"/>
      <c r="O38" s="231"/>
      <c r="P38" s="194"/>
      <c r="Q38" s="230"/>
      <c r="R38" s="194"/>
    </row>
    <row r="39" spans="1:18" ht="14.25">
      <c r="A39" s="194"/>
      <c r="B39" s="234" t="s">
        <v>60</v>
      </c>
      <c r="C39" s="194"/>
      <c r="D39" s="194"/>
      <c r="E39" s="194"/>
      <c r="F39" s="194"/>
      <c r="G39" s="229"/>
      <c r="H39" s="229"/>
      <c r="I39" s="229"/>
      <c r="J39" s="194"/>
      <c r="K39" s="229"/>
      <c r="L39" s="230"/>
      <c r="M39" s="230"/>
      <c r="N39" s="194"/>
      <c r="O39" s="231"/>
      <c r="P39" s="194"/>
      <c r="Q39" s="230"/>
      <c r="R39" s="194"/>
    </row>
    <row r="40" spans="1:18" ht="14.25">
      <c r="A40" s="194"/>
      <c r="B40" s="234" t="s">
        <v>129</v>
      </c>
      <c r="C40" s="194"/>
      <c r="D40" s="194"/>
      <c r="E40" s="194"/>
      <c r="F40" s="194"/>
      <c r="G40" s="229"/>
      <c r="H40" s="229"/>
      <c r="I40" s="229"/>
      <c r="J40" s="194"/>
      <c r="K40" s="229"/>
      <c r="L40" s="230"/>
      <c r="M40" s="230"/>
      <c r="N40" s="194"/>
      <c r="O40" s="231"/>
      <c r="P40" s="194"/>
      <c r="Q40" s="230"/>
      <c r="R40" s="194"/>
    </row>
    <row r="41" spans="1:18" ht="14.25">
      <c r="A41" s="194"/>
      <c r="B41" s="234" t="s">
        <v>52</v>
      </c>
      <c r="C41" s="194"/>
      <c r="D41" s="194"/>
      <c r="E41" s="194"/>
      <c r="F41" s="194"/>
      <c r="G41" s="229"/>
      <c r="H41" s="229"/>
      <c r="I41" s="229"/>
      <c r="J41" s="194"/>
      <c r="K41" s="229"/>
      <c r="L41" s="230"/>
      <c r="M41" s="230"/>
      <c r="N41" s="194"/>
      <c r="O41" s="231"/>
      <c r="P41" s="194"/>
      <c r="Q41" s="230"/>
      <c r="R41" s="194"/>
    </row>
    <row r="42" spans="1:18" ht="14.25">
      <c r="A42" s="194"/>
      <c r="B42" s="234" t="s">
        <v>9</v>
      </c>
      <c r="C42" s="194"/>
      <c r="D42" s="194"/>
      <c r="E42" s="194"/>
      <c r="F42" s="194"/>
      <c r="G42" s="229"/>
      <c r="H42" s="229"/>
      <c r="I42" s="229"/>
      <c r="J42" s="194"/>
      <c r="K42" s="229"/>
      <c r="L42" s="230"/>
      <c r="M42" s="230"/>
      <c r="N42" s="194"/>
      <c r="O42" s="231"/>
      <c r="P42" s="194"/>
      <c r="Q42" s="230"/>
      <c r="R42" s="194"/>
    </row>
    <row r="43" spans="1:18" ht="14.25">
      <c r="A43" s="194"/>
      <c r="B43" s="234" t="s">
        <v>61</v>
      </c>
      <c r="C43" s="194"/>
      <c r="D43" s="194"/>
      <c r="E43" s="194"/>
      <c r="F43" s="194"/>
      <c r="G43" s="229"/>
      <c r="H43" s="229"/>
      <c r="I43" s="229"/>
      <c r="J43" s="194"/>
      <c r="K43" s="229"/>
      <c r="L43" s="230"/>
      <c r="M43" s="230"/>
      <c r="N43" s="194"/>
      <c r="O43" s="231"/>
      <c r="P43" s="194"/>
      <c r="Q43" s="230"/>
      <c r="R43" s="194"/>
    </row>
    <row r="44" spans="1:18" ht="14.25">
      <c r="A44" s="194"/>
      <c r="B44" s="194"/>
      <c r="C44" s="194" t="s">
        <v>62</v>
      </c>
      <c r="D44" s="194"/>
      <c r="E44" s="194"/>
      <c r="F44" s="194"/>
      <c r="G44" s="194"/>
      <c r="H44" s="194"/>
      <c r="I44" s="194"/>
      <c r="J44" s="194"/>
      <c r="K44" s="229"/>
      <c r="L44" s="194"/>
      <c r="M44" s="194"/>
      <c r="N44" s="194"/>
      <c r="O44" s="194"/>
      <c r="P44" s="194"/>
      <c r="Q44" s="194"/>
      <c r="R44" s="194"/>
    </row>
    <row r="45" spans="1:18" ht="14.25">
      <c r="A45" s="194"/>
      <c r="B45" s="234" t="s">
        <v>63</v>
      </c>
      <c r="C45" s="194"/>
      <c r="D45" s="194"/>
      <c r="E45" s="194"/>
      <c r="F45" s="194"/>
      <c r="G45" s="194"/>
      <c r="H45" s="194"/>
      <c r="I45" s="194"/>
      <c r="J45" s="194"/>
      <c r="K45" s="229"/>
      <c r="L45" s="194"/>
      <c r="M45" s="194"/>
      <c r="N45" s="194"/>
      <c r="O45" s="194"/>
      <c r="P45" s="194"/>
      <c r="Q45" s="194"/>
      <c r="R45" s="194"/>
    </row>
    <row r="46" spans="1:18" ht="14.25">
      <c r="A46" s="194"/>
      <c r="B46" s="194"/>
      <c r="C46" s="194" t="s">
        <v>64</v>
      </c>
      <c r="D46" s="194"/>
      <c r="E46" s="194"/>
      <c r="F46" s="194" t="s">
        <v>65</v>
      </c>
      <c r="G46" s="194"/>
      <c r="H46" s="194"/>
      <c r="I46" s="194"/>
      <c r="J46" s="194"/>
      <c r="K46" s="229"/>
      <c r="L46" s="194"/>
      <c r="M46" s="194"/>
      <c r="N46" s="194"/>
      <c r="O46" s="194"/>
      <c r="P46" s="194"/>
      <c r="Q46" s="194"/>
      <c r="R46" s="194"/>
    </row>
    <row r="47" spans="1:18" ht="14.25">
      <c r="A47" s="194"/>
      <c r="B47" s="194"/>
      <c r="C47" s="194" t="s">
        <v>66</v>
      </c>
      <c r="D47" s="194"/>
      <c r="E47" s="194"/>
      <c r="F47" s="194"/>
      <c r="G47" s="194"/>
      <c r="H47" s="194"/>
      <c r="I47" s="194"/>
      <c r="J47" s="194"/>
      <c r="K47" s="229"/>
      <c r="L47" s="194"/>
      <c r="M47" s="194"/>
      <c r="N47" s="194"/>
      <c r="O47" s="194"/>
      <c r="P47" s="194"/>
      <c r="Q47" s="194"/>
      <c r="R47" s="194"/>
    </row>
    <row r="48" spans="1:18" ht="14.25">
      <c r="A48" s="194"/>
      <c r="B48" s="194"/>
      <c r="C48" s="194" t="s">
        <v>112</v>
      </c>
      <c r="D48" s="194"/>
      <c r="E48" s="194"/>
      <c r="F48" s="194"/>
      <c r="G48" s="194"/>
      <c r="H48" s="194"/>
      <c r="I48" s="194"/>
      <c r="J48" s="194"/>
      <c r="K48" s="229"/>
      <c r="L48" s="194"/>
      <c r="M48" s="194"/>
      <c r="N48" s="194"/>
      <c r="O48" s="194"/>
      <c r="P48" s="194"/>
      <c r="Q48" s="194"/>
      <c r="R48" s="194"/>
    </row>
    <row r="49" spans="1:18" ht="14.25">
      <c r="A49" s="194"/>
      <c r="B49" s="194"/>
      <c r="C49" s="194" t="s">
        <v>111</v>
      </c>
      <c r="D49" s="194"/>
      <c r="E49" s="194"/>
      <c r="F49" s="194"/>
      <c r="G49" s="194"/>
      <c r="H49" s="194"/>
      <c r="I49" s="194"/>
      <c r="J49" s="194"/>
      <c r="K49" s="229"/>
      <c r="L49" s="194"/>
      <c r="M49" s="194"/>
      <c r="N49" s="194"/>
      <c r="O49" s="194"/>
      <c r="P49" s="194"/>
      <c r="Q49" s="194"/>
      <c r="R49" s="194"/>
    </row>
    <row r="50" spans="1:18" ht="14.25">
      <c r="A50" s="194"/>
      <c r="B50" s="194"/>
      <c r="C50" s="194" t="s">
        <v>67</v>
      </c>
      <c r="D50" s="194"/>
      <c r="E50" s="194"/>
      <c r="F50" s="194"/>
      <c r="G50" s="194"/>
      <c r="H50" s="194"/>
      <c r="I50" s="194"/>
      <c r="J50" s="194"/>
      <c r="K50" s="229"/>
      <c r="L50" s="194"/>
      <c r="M50" s="194"/>
      <c r="N50" s="194"/>
      <c r="O50" s="194"/>
      <c r="P50" s="194"/>
      <c r="Q50" s="194"/>
      <c r="R50" s="194"/>
    </row>
    <row r="51" spans="1:18" ht="14.25">
      <c r="A51" s="194"/>
      <c r="B51" s="235" t="s">
        <v>38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</row>
    <row r="53" spans="2:17" ht="14.25">
      <c r="B53" s="236"/>
      <c r="G53" s="189"/>
      <c r="H53" s="189"/>
      <c r="I53" s="189"/>
      <c r="L53" s="237"/>
      <c r="M53" s="237"/>
      <c r="O53" s="238"/>
      <c r="Q53" s="237"/>
    </row>
    <row r="54" spans="2:17" ht="14.25">
      <c r="B54" s="236"/>
      <c r="G54" s="189"/>
      <c r="H54" s="189"/>
      <c r="I54" s="189"/>
      <c r="L54" s="237"/>
      <c r="M54" s="237"/>
      <c r="O54" s="238"/>
      <c r="Q54" s="237"/>
    </row>
  </sheetData>
  <sheetProtection/>
  <mergeCells count="10">
    <mergeCell ref="A9:A10"/>
    <mergeCell ref="C9:C10"/>
    <mergeCell ref="B51:R51"/>
    <mergeCell ref="I7:I10"/>
    <mergeCell ref="M5:M10"/>
    <mergeCell ref="K6:K10"/>
    <mergeCell ref="O6:O10"/>
    <mergeCell ref="Q6:Q10"/>
    <mergeCell ref="E7:E10"/>
    <mergeCell ref="G7:G1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57421875" style="0" customWidth="1"/>
    <col min="2" max="2" width="1.28515625" style="0" customWidth="1"/>
    <col min="3" max="3" width="8.28125" style="0" customWidth="1"/>
    <col min="4" max="4" width="2.421875" style="0" customWidth="1"/>
    <col min="5" max="5" width="10.57421875" style="0" customWidth="1"/>
    <col min="6" max="6" width="1.57421875" style="0" customWidth="1"/>
    <col min="7" max="7" width="11.140625" style="25" bestFit="1" customWidth="1"/>
    <col min="8" max="8" width="2.140625" style="0" customWidth="1"/>
    <col min="9" max="9" width="14.00390625" style="0" customWidth="1"/>
    <col min="10" max="10" width="1.1484375" style="0" customWidth="1"/>
    <col min="11" max="11" width="13.421875" style="0" customWidth="1"/>
    <col min="12" max="12" width="2.140625" style="0" customWidth="1"/>
    <col min="13" max="13" width="11.8515625" style="0" customWidth="1"/>
    <col min="14" max="14" width="4.28125" style="0" customWidth="1"/>
    <col min="15" max="15" width="3.421875" style="0" customWidth="1"/>
    <col min="16" max="16" width="6.140625" style="0" customWidth="1"/>
    <col min="17" max="17" width="3.8515625" style="0" customWidth="1"/>
    <col min="18" max="18" width="5.8515625" style="0" customWidth="1"/>
  </cols>
  <sheetData>
    <row r="1" spans="1:13" ht="23.25">
      <c r="A1" s="2" t="s">
        <v>0</v>
      </c>
      <c r="I1" s="37"/>
      <c r="K1" s="14"/>
      <c r="M1" s="37"/>
    </row>
    <row r="2" spans="1:13" ht="14.25">
      <c r="A2" t="s">
        <v>172</v>
      </c>
      <c r="I2" s="37"/>
      <c r="K2" s="14"/>
      <c r="M2" s="37"/>
    </row>
    <row r="3" spans="1:13" ht="14.25">
      <c r="A3" s="1" t="s">
        <v>68</v>
      </c>
      <c r="I3" s="37"/>
      <c r="K3" s="14"/>
      <c r="M3" s="37"/>
    </row>
    <row r="4" spans="9:13" ht="14.25">
      <c r="I4" s="37"/>
      <c r="K4" s="14"/>
      <c r="M4" s="37"/>
    </row>
    <row r="5" spans="1:14" ht="14.25">
      <c r="A5" s="3"/>
      <c r="B5" s="4"/>
      <c r="C5" s="4"/>
      <c r="D5" s="4"/>
      <c r="E5" s="23"/>
      <c r="F5" s="4"/>
      <c r="G5" s="27"/>
      <c r="H5" s="4"/>
      <c r="I5" s="38"/>
      <c r="J5" s="15"/>
      <c r="K5" s="168" t="s">
        <v>81</v>
      </c>
      <c r="L5" s="5"/>
      <c r="M5" s="170" t="s">
        <v>82</v>
      </c>
      <c r="N5" s="3"/>
    </row>
    <row r="6" spans="1:14" ht="14.25">
      <c r="A6" s="4"/>
      <c r="B6" s="4"/>
      <c r="C6" s="4"/>
      <c r="D6" s="4"/>
      <c r="E6" s="175" t="s">
        <v>31</v>
      </c>
      <c r="F6" s="17"/>
      <c r="G6" s="164" t="s">
        <v>69</v>
      </c>
      <c r="H6" s="17"/>
      <c r="I6" s="170" t="s">
        <v>70</v>
      </c>
      <c r="J6" s="19"/>
      <c r="K6" s="168"/>
      <c r="L6" s="5"/>
      <c r="M6" s="170"/>
      <c r="N6" s="3"/>
    </row>
    <row r="7" spans="1:14" ht="14.25">
      <c r="A7" s="4"/>
      <c r="B7" s="4"/>
      <c r="C7" s="4"/>
      <c r="D7" s="4"/>
      <c r="E7" s="175"/>
      <c r="F7" s="17"/>
      <c r="G7" s="164"/>
      <c r="H7" s="17"/>
      <c r="I7" s="170"/>
      <c r="J7" s="19"/>
      <c r="K7" s="168"/>
      <c r="L7" s="5"/>
      <c r="M7" s="170"/>
      <c r="N7" s="3"/>
    </row>
    <row r="8" spans="1:14" ht="14.25">
      <c r="A8" s="161" t="s">
        <v>12</v>
      </c>
      <c r="B8" s="4"/>
      <c r="C8" s="161" t="s">
        <v>3</v>
      </c>
      <c r="D8" s="4"/>
      <c r="E8" s="175"/>
      <c r="F8" s="17"/>
      <c r="G8" s="164"/>
      <c r="H8" s="17"/>
      <c r="I8" s="170"/>
      <c r="J8" s="19"/>
      <c r="K8" s="168"/>
      <c r="L8" s="5"/>
      <c r="M8" s="170"/>
      <c r="N8" s="3"/>
    </row>
    <row r="9" spans="1:14" ht="15" thickBot="1">
      <c r="A9" s="162"/>
      <c r="B9" s="7"/>
      <c r="C9" s="162"/>
      <c r="D9" s="7"/>
      <c r="E9" s="176"/>
      <c r="F9" s="18"/>
      <c r="G9" s="165"/>
      <c r="H9" s="18"/>
      <c r="I9" s="167"/>
      <c r="J9" s="20"/>
      <c r="K9" s="169"/>
      <c r="L9" s="9"/>
      <c r="M9" s="167"/>
      <c r="N9" s="3"/>
    </row>
    <row r="10" spans="1:14" ht="14.25">
      <c r="A10" s="77"/>
      <c r="B10" s="77"/>
      <c r="C10" s="77"/>
      <c r="D10" s="77"/>
      <c r="E10" s="77"/>
      <c r="F10" s="77"/>
      <c r="G10" s="78"/>
      <c r="H10" s="77"/>
      <c r="I10" s="70"/>
      <c r="J10" s="77"/>
      <c r="K10" s="79"/>
      <c r="L10" s="77"/>
      <c r="M10" s="70"/>
      <c r="N10" s="3"/>
    </row>
    <row r="11" spans="1:14" ht="14.25">
      <c r="A11" s="77">
        <v>1</v>
      </c>
      <c r="B11" s="77"/>
      <c r="C11" s="77">
        <v>2018</v>
      </c>
      <c r="D11" s="77"/>
      <c r="E11" s="56">
        <f>SUM(96*80*1200)</f>
        <v>9216000</v>
      </c>
      <c r="F11" s="77"/>
      <c r="G11" s="78">
        <f>SUM(E11/6)</f>
        <v>1536000</v>
      </c>
      <c r="H11" s="77"/>
      <c r="I11" s="70">
        <f>G11*4.01</f>
        <v>6159360</v>
      </c>
      <c r="J11" s="77"/>
      <c r="K11" s="79">
        <f>SUM(I11/(1.07)^A11)</f>
        <v>5756411.214953271</v>
      </c>
      <c r="L11" s="77"/>
      <c r="M11" s="70">
        <f>SUM(I11/(1.03)^A11)</f>
        <v>5979961.165048543</v>
      </c>
      <c r="N11" s="3"/>
    </row>
    <row r="12" spans="1:14" ht="14.25">
      <c r="A12" s="77">
        <v>2</v>
      </c>
      <c r="B12" s="77"/>
      <c r="C12" s="77">
        <v>2019</v>
      </c>
      <c r="D12" s="77"/>
      <c r="E12" s="56">
        <f>SUM(96*80*1200)</f>
        <v>9216000</v>
      </c>
      <c r="F12" s="77"/>
      <c r="G12" s="78">
        <f aca="true" t="shared" si="0" ref="G12:G30">SUM(E12/6)</f>
        <v>1536000</v>
      </c>
      <c r="H12" s="77"/>
      <c r="I12" s="70">
        <f aca="true" t="shared" si="1" ref="I12:I30">G12*4.01</f>
        <v>6159360</v>
      </c>
      <c r="J12" s="77"/>
      <c r="K12" s="79">
        <f aca="true" t="shared" si="2" ref="K12:K30">SUM(I12/(1.07)^A12)</f>
        <v>5379823.565376889</v>
      </c>
      <c r="L12" s="77"/>
      <c r="M12" s="70">
        <f aca="true" t="shared" si="3" ref="M12:M30">SUM(I12/(1.03)^A12)</f>
        <v>5805787.538882081</v>
      </c>
      <c r="N12" s="3"/>
    </row>
    <row r="13" spans="1:14" ht="14.25">
      <c r="A13" s="77">
        <v>3</v>
      </c>
      <c r="B13" s="77"/>
      <c r="C13" s="77">
        <v>2020</v>
      </c>
      <c r="D13" s="77"/>
      <c r="E13" s="56">
        <f>SUM(96*80*1200)</f>
        <v>9216000</v>
      </c>
      <c r="F13" s="77"/>
      <c r="G13" s="78">
        <f t="shared" si="0"/>
        <v>1536000</v>
      </c>
      <c r="H13" s="77"/>
      <c r="I13" s="70">
        <f t="shared" si="1"/>
        <v>6159360</v>
      </c>
      <c r="J13" s="77"/>
      <c r="K13" s="79">
        <f t="shared" si="2"/>
        <v>5027872.491006438</v>
      </c>
      <c r="L13" s="77"/>
      <c r="M13" s="70">
        <f t="shared" si="3"/>
        <v>5636686.930953477</v>
      </c>
      <c r="N13" s="3"/>
    </row>
    <row r="14" spans="1:14" ht="14.25">
      <c r="A14" s="77">
        <v>4</v>
      </c>
      <c r="B14" s="77"/>
      <c r="C14" s="77">
        <v>2021</v>
      </c>
      <c r="D14" s="77"/>
      <c r="E14" s="56">
        <f>SUM(96*80*1200)</f>
        <v>9216000</v>
      </c>
      <c r="F14" s="77"/>
      <c r="G14" s="78">
        <f t="shared" si="0"/>
        <v>1536000</v>
      </c>
      <c r="H14" s="77"/>
      <c r="I14" s="70">
        <f t="shared" si="1"/>
        <v>6159360</v>
      </c>
      <c r="J14" s="77"/>
      <c r="K14" s="79">
        <f t="shared" si="2"/>
        <v>4698946.253277045</v>
      </c>
      <c r="L14" s="77"/>
      <c r="M14" s="70">
        <f t="shared" si="3"/>
        <v>5472511.583449978</v>
      </c>
      <c r="N14" s="3"/>
    </row>
    <row r="15" spans="1:14" ht="14.25">
      <c r="A15" s="77">
        <v>5</v>
      </c>
      <c r="B15" s="77"/>
      <c r="C15" s="77">
        <v>2022</v>
      </c>
      <c r="D15" s="77"/>
      <c r="E15" s="56">
        <f>SUM(192*80*1200)</f>
        <v>18432000</v>
      </c>
      <c r="F15" s="77"/>
      <c r="G15" s="78">
        <f t="shared" si="0"/>
        <v>3072000</v>
      </c>
      <c r="H15" s="77"/>
      <c r="I15" s="70">
        <f t="shared" si="1"/>
        <v>12318720</v>
      </c>
      <c r="J15" s="77"/>
      <c r="K15" s="79">
        <f t="shared" si="2"/>
        <v>8783077.108929055</v>
      </c>
      <c r="L15" s="77"/>
      <c r="M15" s="70">
        <f t="shared" si="3"/>
        <v>10626236.08436889</v>
      </c>
      <c r="N15" s="3"/>
    </row>
    <row r="16" spans="1:14" ht="14.25">
      <c r="A16" s="77">
        <v>6</v>
      </c>
      <c r="B16" s="77"/>
      <c r="C16" s="77">
        <v>2023</v>
      </c>
      <c r="D16" s="77"/>
      <c r="E16" s="56">
        <f>SUM(192*80*1200)</f>
        <v>18432000</v>
      </c>
      <c r="F16" s="77"/>
      <c r="G16" s="78">
        <f t="shared" si="0"/>
        <v>3072000</v>
      </c>
      <c r="H16" s="77"/>
      <c r="I16" s="70">
        <f t="shared" si="1"/>
        <v>12318720</v>
      </c>
      <c r="J16" s="77"/>
      <c r="K16" s="79">
        <f t="shared" si="2"/>
        <v>8208483.279372949</v>
      </c>
      <c r="L16" s="77"/>
      <c r="M16" s="70">
        <f t="shared" si="3"/>
        <v>10316734.062494067</v>
      </c>
      <c r="N16" s="3"/>
    </row>
    <row r="17" spans="1:14" ht="14.25">
      <c r="A17" s="77">
        <v>7</v>
      </c>
      <c r="B17" s="77"/>
      <c r="C17" s="77">
        <v>2024</v>
      </c>
      <c r="D17" s="77"/>
      <c r="E17" s="56">
        <f>SUM(192*80*1200)</f>
        <v>18432000</v>
      </c>
      <c r="F17" s="77"/>
      <c r="G17" s="78">
        <f t="shared" si="0"/>
        <v>3072000</v>
      </c>
      <c r="H17" s="77"/>
      <c r="I17" s="70">
        <f t="shared" si="1"/>
        <v>12318720</v>
      </c>
      <c r="J17" s="77"/>
      <c r="K17" s="79">
        <f t="shared" si="2"/>
        <v>7671479.70034855</v>
      </c>
      <c r="L17" s="77"/>
      <c r="M17" s="70">
        <f t="shared" si="3"/>
        <v>10016246.6626156</v>
      </c>
      <c r="N17" s="3"/>
    </row>
    <row r="18" spans="1:14" ht="14.25">
      <c r="A18" s="77">
        <v>8</v>
      </c>
      <c r="B18" s="77"/>
      <c r="C18" s="77">
        <v>2025</v>
      </c>
      <c r="D18" s="77"/>
      <c r="E18" s="56">
        <f>SUM(200*80*1200)</f>
        <v>19200000</v>
      </c>
      <c r="F18" s="77"/>
      <c r="G18" s="78">
        <f t="shared" si="0"/>
        <v>3200000</v>
      </c>
      <c r="H18" s="77"/>
      <c r="I18" s="70">
        <f t="shared" si="1"/>
        <v>12832000</v>
      </c>
      <c r="J18" s="77"/>
      <c r="K18" s="79">
        <f t="shared" si="2"/>
        <v>7468340.8297785735</v>
      </c>
      <c r="L18" s="77"/>
      <c r="M18" s="70">
        <f t="shared" si="3"/>
        <v>10129699.294716423</v>
      </c>
      <c r="N18" s="3"/>
    </row>
    <row r="19" spans="1:14" ht="14.25">
      <c r="A19" s="77">
        <v>9</v>
      </c>
      <c r="B19" s="77"/>
      <c r="C19" s="77">
        <v>2026</v>
      </c>
      <c r="D19" s="77"/>
      <c r="E19" s="56">
        <f>SUM(200*80*1200)</f>
        <v>19200000</v>
      </c>
      <c r="F19" s="77"/>
      <c r="G19" s="78">
        <f t="shared" si="0"/>
        <v>3200000</v>
      </c>
      <c r="H19" s="77"/>
      <c r="I19" s="70">
        <f t="shared" si="1"/>
        <v>12832000</v>
      </c>
      <c r="J19" s="77"/>
      <c r="K19" s="79">
        <f t="shared" si="2"/>
        <v>6979757.7848397875</v>
      </c>
      <c r="L19" s="77"/>
      <c r="M19" s="70">
        <f t="shared" si="3"/>
        <v>9834659.50943342</v>
      </c>
      <c r="N19" s="3"/>
    </row>
    <row r="20" spans="1:14" ht="14.25">
      <c r="A20" s="77">
        <v>10</v>
      </c>
      <c r="B20" s="77"/>
      <c r="C20" s="77">
        <v>2027</v>
      </c>
      <c r="D20" s="77"/>
      <c r="E20" s="56">
        <f>SUM(208*80*1200)</f>
        <v>19968000</v>
      </c>
      <c r="F20" s="77"/>
      <c r="G20" s="78">
        <f t="shared" si="0"/>
        <v>3328000</v>
      </c>
      <c r="H20" s="77"/>
      <c r="I20" s="70">
        <f t="shared" si="1"/>
        <v>13345280</v>
      </c>
      <c r="J20" s="77"/>
      <c r="K20" s="79">
        <f t="shared" si="2"/>
        <v>6784063.641339607</v>
      </c>
      <c r="L20" s="77"/>
      <c r="M20" s="70">
        <f t="shared" si="3"/>
        <v>9930141.640592968</v>
      </c>
      <c r="N20" s="3"/>
    </row>
    <row r="21" spans="1:14" ht="14.25">
      <c r="A21" s="77">
        <v>11</v>
      </c>
      <c r="B21" s="77"/>
      <c r="C21" s="77">
        <v>2028</v>
      </c>
      <c r="D21" s="77"/>
      <c r="E21" s="56">
        <f>SUM(216*80*1200)</f>
        <v>20736000</v>
      </c>
      <c r="F21" s="77"/>
      <c r="G21" s="78">
        <f t="shared" si="0"/>
        <v>3456000</v>
      </c>
      <c r="H21" s="77"/>
      <c r="I21" s="70">
        <f t="shared" si="1"/>
        <v>13858560</v>
      </c>
      <c r="J21" s="77"/>
      <c r="K21" s="79">
        <f t="shared" si="2"/>
        <v>6584102.024305153</v>
      </c>
      <c r="L21" s="77"/>
      <c r="M21" s="70">
        <f t="shared" si="3"/>
        <v>10011718.607020544</v>
      </c>
      <c r="N21" s="3"/>
    </row>
    <row r="22" spans="1:14" ht="14.25">
      <c r="A22" s="77">
        <v>12</v>
      </c>
      <c r="B22" s="77"/>
      <c r="C22" s="77">
        <v>2029</v>
      </c>
      <c r="D22" s="77"/>
      <c r="E22" s="56">
        <f>SUM(216*80*1200)</f>
        <v>20736000</v>
      </c>
      <c r="F22" s="77"/>
      <c r="G22" s="78">
        <f t="shared" si="0"/>
        <v>3456000</v>
      </c>
      <c r="H22" s="77"/>
      <c r="I22" s="70">
        <f t="shared" si="1"/>
        <v>13858560</v>
      </c>
      <c r="J22" s="77"/>
      <c r="K22" s="79">
        <f t="shared" si="2"/>
        <v>6153366.377855284</v>
      </c>
      <c r="L22" s="77"/>
      <c r="M22" s="70">
        <f t="shared" si="3"/>
        <v>9720115.15244713</v>
      </c>
      <c r="N22" s="3"/>
    </row>
    <row r="23" spans="1:14" ht="14.25">
      <c r="A23" s="77">
        <v>13</v>
      </c>
      <c r="B23" s="77"/>
      <c r="C23" s="77">
        <v>2030</v>
      </c>
      <c r="D23" s="77"/>
      <c r="E23" s="56">
        <f>SUM(216*80*1200)</f>
        <v>20736000</v>
      </c>
      <c r="F23" s="77"/>
      <c r="G23" s="78">
        <f t="shared" si="0"/>
        <v>3456000</v>
      </c>
      <c r="H23" s="77"/>
      <c r="I23" s="70">
        <f t="shared" si="1"/>
        <v>13858560</v>
      </c>
      <c r="J23" s="77"/>
      <c r="K23" s="79">
        <f t="shared" si="2"/>
        <v>5750809.698930172</v>
      </c>
      <c r="L23" s="77"/>
      <c r="M23" s="70">
        <f t="shared" si="3"/>
        <v>9437005.002375856</v>
      </c>
      <c r="N23" s="3"/>
    </row>
    <row r="24" spans="1:14" ht="14.25">
      <c r="A24" s="77">
        <v>14</v>
      </c>
      <c r="B24" s="77"/>
      <c r="C24" s="77">
        <v>2031</v>
      </c>
      <c r="D24" s="77"/>
      <c r="E24" s="56">
        <f>SUM(216*80*1200)</f>
        <v>20736000</v>
      </c>
      <c r="F24" s="77"/>
      <c r="G24" s="78">
        <f t="shared" si="0"/>
        <v>3456000</v>
      </c>
      <c r="H24" s="77"/>
      <c r="I24" s="70">
        <f t="shared" si="1"/>
        <v>13858560</v>
      </c>
      <c r="J24" s="77"/>
      <c r="K24" s="79">
        <f t="shared" si="2"/>
        <v>5374588.503673058</v>
      </c>
      <c r="L24" s="77"/>
      <c r="M24" s="70">
        <f t="shared" si="3"/>
        <v>9162140.779005684</v>
      </c>
      <c r="N24" s="3"/>
    </row>
    <row r="25" spans="1:14" ht="14.25">
      <c r="A25" s="77">
        <v>15</v>
      </c>
      <c r="B25" s="77"/>
      <c r="C25" s="77">
        <v>2032</v>
      </c>
      <c r="D25" s="77"/>
      <c r="E25" s="56">
        <f>SUM(224*80*1200)</f>
        <v>21504000</v>
      </c>
      <c r="F25" s="77"/>
      <c r="G25" s="78">
        <f t="shared" si="0"/>
        <v>3584000</v>
      </c>
      <c r="H25" s="77"/>
      <c r="I25" s="70">
        <f t="shared" si="1"/>
        <v>14371840</v>
      </c>
      <c r="J25" s="77"/>
      <c r="K25" s="79">
        <f t="shared" si="2"/>
        <v>5209016.2029368505</v>
      </c>
      <c r="L25" s="77"/>
      <c r="M25" s="70">
        <f t="shared" si="3"/>
        <v>9224737.210074043</v>
      </c>
      <c r="N25" s="3"/>
    </row>
    <row r="26" spans="1:14" ht="14.25">
      <c r="A26" s="77">
        <v>16</v>
      </c>
      <c r="B26" s="77"/>
      <c r="C26" s="77">
        <v>2033</v>
      </c>
      <c r="D26" s="77"/>
      <c r="E26" s="56">
        <f>SUM(224*80*1200)</f>
        <v>21504000</v>
      </c>
      <c r="F26" s="77"/>
      <c r="G26" s="78">
        <f t="shared" si="0"/>
        <v>3584000</v>
      </c>
      <c r="H26" s="77"/>
      <c r="I26" s="70">
        <f t="shared" si="1"/>
        <v>14371840</v>
      </c>
      <c r="J26" s="77"/>
      <c r="K26" s="79">
        <f t="shared" si="2"/>
        <v>4868239.441997057</v>
      </c>
      <c r="L26" s="77"/>
      <c r="M26" s="70">
        <f t="shared" si="3"/>
        <v>8956055.543761209</v>
      </c>
      <c r="N26" s="3"/>
    </row>
    <row r="27" spans="1:14" ht="14.25">
      <c r="A27" s="77">
        <v>17</v>
      </c>
      <c r="B27" s="77"/>
      <c r="C27" s="77">
        <v>2034</v>
      </c>
      <c r="D27" s="77"/>
      <c r="E27" s="56">
        <f>SUM(224*80*1200)</f>
        <v>21504000</v>
      </c>
      <c r="F27" s="77"/>
      <c r="G27" s="78">
        <f t="shared" si="0"/>
        <v>3584000</v>
      </c>
      <c r="H27" s="77"/>
      <c r="I27" s="70">
        <f t="shared" si="1"/>
        <v>14371840</v>
      </c>
      <c r="J27" s="77"/>
      <c r="K27" s="79">
        <f t="shared" si="2"/>
        <v>4549756.487847717</v>
      </c>
      <c r="L27" s="77"/>
      <c r="M27" s="70">
        <f t="shared" si="3"/>
        <v>8695199.557049718</v>
      </c>
      <c r="N27" s="3"/>
    </row>
    <row r="28" spans="1:14" ht="14.25">
      <c r="A28" s="77">
        <v>18</v>
      </c>
      <c r="B28" s="77"/>
      <c r="C28" s="77">
        <v>2035</v>
      </c>
      <c r="D28" s="77"/>
      <c r="E28" s="56">
        <f>SUM(231*80*1200)</f>
        <v>22176000</v>
      </c>
      <c r="F28" s="77"/>
      <c r="G28" s="78">
        <f t="shared" si="0"/>
        <v>3696000</v>
      </c>
      <c r="H28" s="77"/>
      <c r="I28" s="70">
        <f t="shared" si="1"/>
        <v>14820960</v>
      </c>
      <c r="J28" s="77"/>
      <c r="K28" s="79">
        <f t="shared" si="2"/>
        <v>4384987.269245755</v>
      </c>
      <c r="L28" s="77"/>
      <c r="M28" s="70">
        <f t="shared" si="3"/>
        <v>8705751.98369662</v>
      </c>
      <c r="N28" s="3"/>
    </row>
    <row r="29" spans="1:14" ht="14.25">
      <c r="A29" s="77">
        <v>19</v>
      </c>
      <c r="B29" s="77"/>
      <c r="C29" s="77">
        <v>2036</v>
      </c>
      <c r="D29" s="77"/>
      <c r="E29" s="56">
        <f>SUM(231*80*1200)</f>
        <v>22176000</v>
      </c>
      <c r="F29" s="77"/>
      <c r="G29" s="78">
        <f t="shared" si="0"/>
        <v>3696000</v>
      </c>
      <c r="H29" s="77"/>
      <c r="I29" s="70">
        <f t="shared" si="1"/>
        <v>14820960</v>
      </c>
      <c r="J29" s="77"/>
      <c r="K29" s="79">
        <f t="shared" si="2"/>
        <v>4098118.943220332</v>
      </c>
      <c r="L29" s="77"/>
      <c r="M29" s="70">
        <f t="shared" si="3"/>
        <v>8452186.391938468</v>
      </c>
      <c r="N29" s="3"/>
    </row>
    <row r="30" spans="1:14" ht="14.25">
      <c r="A30" s="77">
        <v>20</v>
      </c>
      <c r="B30" s="77"/>
      <c r="C30" s="77">
        <v>2037</v>
      </c>
      <c r="D30" s="77"/>
      <c r="E30" s="64">
        <f>SUM(231*80*1200)</f>
        <v>22176000</v>
      </c>
      <c r="F30" s="44"/>
      <c r="G30" s="88">
        <f t="shared" si="0"/>
        <v>3696000</v>
      </c>
      <c r="H30" s="44"/>
      <c r="I30" s="71">
        <f t="shared" si="1"/>
        <v>14820960</v>
      </c>
      <c r="J30" s="44"/>
      <c r="K30" s="84">
        <f t="shared" si="2"/>
        <v>3830017.7039442356</v>
      </c>
      <c r="L30" s="44"/>
      <c r="M30" s="71">
        <f t="shared" si="3"/>
        <v>8206006.205765503</v>
      </c>
      <c r="N30" s="47"/>
    </row>
    <row r="31" spans="1:14" ht="14.25">
      <c r="A31" s="77"/>
      <c r="B31" s="77"/>
      <c r="C31" s="77"/>
      <c r="D31" s="77"/>
      <c r="E31" s="77"/>
      <c r="F31" s="77"/>
      <c r="G31" s="78"/>
      <c r="H31" s="77"/>
      <c r="I31" s="70"/>
      <c r="J31" s="77"/>
      <c r="K31" s="79"/>
      <c r="L31" s="77"/>
      <c r="M31" s="70"/>
      <c r="N31" s="3"/>
    </row>
    <row r="32" spans="1:14" ht="15" thickBot="1">
      <c r="A32" s="77"/>
      <c r="B32" s="77"/>
      <c r="C32" s="77"/>
      <c r="D32" s="77"/>
      <c r="E32" s="77"/>
      <c r="F32" s="77"/>
      <c r="G32" s="78"/>
      <c r="H32" s="85"/>
      <c r="I32" s="86">
        <f>SUM(I11:I30)</f>
        <v>243615520</v>
      </c>
      <c r="J32" s="86"/>
      <c r="K32" s="86">
        <f>SUM(K11:K30)</f>
        <v>117561258.52317777</v>
      </c>
      <c r="L32" s="86"/>
      <c r="M32" s="86">
        <f>SUM(M11:M30)</f>
        <v>174319580.90569025</v>
      </c>
      <c r="N32" s="72"/>
    </row>
    <row r="33" spans="1:14" ht="15" thickTop="1">
      <c r="A33" s="3"/>
      <c r="B33" s="3"/>
      <c r="C33" s="3"/>
      <c r="D33" s="3"/>
      <c r="E33" s="3"/>
      <c r="F33" s="3"/>
      <c r="G33" s="26"/>
      <c r="H33" s="3"/>
      <c r="I33" s="57"/>
      <c r="J33" s="3"/>
      <c r="K33" s="13"/>
      <c r="L33" s="3"/>
      <c r="M33" s="57"/>
      <c r="N33" s="3"/>
    </row>
    <row r="34" spans="1:14" ht="14.25">
      <c r="A34" s="3"/>
      <c r="B34" s="3"/>
      <c r="C34" s="3"/>
      <c r="D34" s="3"/>
      <c r="E34" s="3"/>
      <c r="F34" s="3"/>
      <c r="G34" s="26"/>
      <c r="H34" s="3"/>
      <c r="I34" s="57"/>
      <c r="J34" s="3"/>
      <c r="K34" s="13"/>
      <c r="L34" s="3"/>
      <c r="M34" s="57"/>
      <c r="N34" s="3"/>
    </row>
    <row r="35" spans="1:14" ht="14.25">
      <c r="A35" s="3"/>
      <c r="B35" s="74" t="s">
        <v>25</v>
      </c>
      <c r="C35" s="3"/>
      <c r="D35" s="3"/>
      <c r="E35" s="3"/>
      <c r="F35" s="3"/>
      <c r="G35" s="26"/>
      <c r="H35" s="3"/>
      <c r="I35" s="57"/>
      <c r="J35" s="3"/>
      <c r="K35" s="13"/>
      <c r="L35" s="3"/>
      <c r="M35" s="57"/>
      <c r="N35" s="3"/>
    </row>
    <row r="36" spans="1:14" ht="14.25">
      <c r="A36" s="3"/>
      <c r="B36" s="75" t="s">
        <v>162</v>
      </c>
      <c r="C36" s="75"/>
      <c r="D36" s="75"/>
      <c r="E36" s="3"/>
      <c r="F36" s="3"/>
      <c r="G36" s="26"/>
      <c r="H36" s="3"/>
      <c r="I36" s="57"/>
      <c r="J36" s="3"/>
      <c r="K36" s="13"/>
      <c r="L36" s="3"/>
      <c r="M36" s="57"/>
      <c r="N36" s="3"/>
    </row>
    <row r="37" spans="1:14" ht="14.25">
      <c r="A37" s="3"/>
      <c r="B37" s="75" t="s">
        <v>71</v>
      </c>
      <c r="C37" s="75"/>
      <c r="D37" s="75"/>
      <c r="E37" s="3"/>
      <c r="F37" s="3"/>
      <c r="G37" s="26"/>
      <c r="H37" s="3"/>
      <c r="I37" s="57"/>
      <c r="J37" s="3"/>
      <c r="K37" s="13"/>
      <c r="L37" s="3"/>
      <c r="M37" s="57"/>
      <c r="N37" s="3"/>
    </row>
    <row r="38" spans="1:14" ht="14.25">
      <c r="A38" s="3"/>
      <c r="B38" s="75" t="s">
        <v>72</v>
      </c>
      <c r="C38" s="75"/>
      <c r="D38" s="75"/>
      <c r="E38" s="3"/>
      <c r="F38" s="3"/>
      <c r="G38" s="26"/>
      <c r="H38" s="3"/>
      <c r="I38" s="57"/>
      <c r="J38" s="3"/>
      <c r="K38" s="13"/>
      <c r="L38" s="3"/>
      <c r="M38" s="57"/>
      <c r="N38" s="3"/>
    </row>
    <row r="39" spans="1:14" ht="14.25">
      <c r="A39" s="3"/>
      <c r="B39" s="75" t="s">
        <v>8</v>
      </c>
      <c r="C39" s="75"/>
      <c r="D39" s="75"/>
      <c r="E39" s="3"/>
      <c r="F39" s="3"/>
      <c r="G39" s="26"/>
      <c r="H39" s="3"/>
      <c r="I39" s="57"/>
      <c r="J39" s="3"/>
      <c r="K39" s="13"/>
      <c r="L39" s="3"/>
      <c r="M39" s="57"/>
      <c r="N39" s="3"/>
    </row>
    <row r="40" spans="1:14" ht="14.25">
      <c r="A40" s="3"/>
      <c r="B40" s="75" t="s">
        <v>9</v>
      </c>
      <c r="C40" s="3"/>
      <c r="D40" s="3"/>
      <c r="E40" s="3"/>
      <c r="F40" s="3"/>
      <c r="G40" s="26"/>
      <c r="H40" s="3"/>
      <c r="I40" s="57"/>
      <c r="J40" s="3"/>
      <c r="K40" s="13"/>
      <c r="L40" s="3"/>
      <c r="M40" s="57"/>
      <c r="N40" s="3"/>
    </row>
    <row r="41" spans="1:14" ht="14.25">
      <c r="A41" s="3"/>
      <c r="B41" s="163" t="s">
        <v>38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</row>
  </sheetData>
  <sheetProtection/>
  <mergeCells count="8">
    <mergeCell ref="A8:A9"/>
    <mergeCell ref="C8:C9"/>
    <mergeCell ref="B41:N41"/>
    <mergeCell ref="K5:K9"/>
    <mergeCell ref="M5:M9"/>
    <mergeCell ref="E6:E9"/>
    <mergeCell ref="G6:G9"/>
    <mergeCell ref="I6:I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6">
      <selection activeCell="I21" sqref="I21"/>
    </sheetView>
  </sheetViews>
  <sheetFormatPr defaultColWidth="9.140625" defaultRowHeight="15"/>
  <cols>
    <col min="1" max="1" width="4.28125" style="0" customWidth="1"/>
    <col min="2" max="2" width="0.5625" style="0" customWidth="1"/>
    <col min="3" max="3" width="7.8515625" style="0" customWidth="1"/>
    <col min="4" max="4" width="0.5625" style="0" customWidth="1"/>
    <col min="5" max="5" width="7.00390625" style="0" customWidth="1"/>
    <col min="6" max="6" width="0.5625" style="0" customWidth="1"/>
    <col min="7" max="7" width="8.28125" style="0" customWidth="1"/>
    <col min="8" max="8" width="1.1484375" style="0" customWidth="1"/>
    <col min="9" max="9" width="7.140625" style="0" customWidth="1"/>
    <col min="10" max="10" width="0.9921875" style="0" customWidth="1"/>
    <col min="11" max="11" width="6.8515625" style="25" customWidth="1"/>
    <col min="12" max="12" width="0.9921875" style="0" customWidth="1"/>
    <col min="13" max="13" width="8.8515625" style="25" customWidth="1"/>
    <col min="14" max="14" width="0.71875" style="0" customWidth="1"/>
    <col min="15" max="15" width="10.28125" style="37" customWidth="1"/>
    <col min="16" max="16" width="0.71875" style="0" customWidth="1"/>
    <col min="17" max="17" width="12.00390625" style="37" customWidth="1"/>
    <col min="18" max="18" width="0.85546875" style="0" customWidth="1"/>
    <col min="19" max="19" width="10.57421875" style="37" customWidth="1"/>
    <col min="20" max="20" width="0.71875" style="0" customWidth="1"/>
  </cols>
  <sheetData>
    <row r="1" spans="1:14" ht="23.25">
      <c r="A1" s="2" t="s">
        <v>0</v>
      </c>
      <c r="E1" s="21"/>
      <c r="I1" s="25"/>
      <c r="N1" s="16"/>
    </row>
    <row r="2" spans="1:14" ht="14.25">
      <c r="A2" t="s">
        <v>171</v>
      </c>
      <c r="E2" s="21"/>
      <c r="I2" s="25"/>
      <c r="N2" s="16"/>
    </row>
    <row r="3" spans="1:14" ht="14.25">
      <c r="A3" s="1" t="s">
        <v>73</v>
      </c>
      <c r="E3" s="21"/>
      <c r="I3" s="25"/>
      <c r="N3" s="16"/>
    </row>
    <row r="4" spans="1:19" ht="9.75" customHeight="1">
      <c r="A4" s="3"/>
      <c r="B4" s="4"/>
      <c r="C4" s="4"/>
      <c r="D4" s="4"/>
      <c r="E4" s="23"/>
      <c r="F4" s="4"/>
      <c r="G4" s="4"/>
      <c r="H4" s="4"/>
      <c r="I4" s="27"/>
      <c r="J4" s="15"/>
      <c r="K4" s="164" t="s">
        <v>74</v>
      </c>
      <c r="L4" s="19"/>
      <c r="M4" s="164" t="s">
        <v>75</v>
      </c>
      <c r="N4" s="29"/>
      <c r="O4" s="39"/>
      <c r="P4" s="4"/>
      <c r="Q4" s="170" t="s">
        <v>113</v>
      </c>
      <c r="R4" s="5"/>
      <c r="S4" s="170" t="s">
        <v>114</v>
      </c>
    </row>
    <row r="5" spans="1:19" s="55" customFormat="1" ht="15" customHeight="1">
      <c r="A5" s="76"/>
      <c r="B5" s="76"/>
      <c r="C5" s="76"/>
      <c r="D5" s="76"/>
      <c r="E5" s="171" t="s">
        <v>20</v>
      </c>
      <c r="F5" s="17"/>
      <c r="G5" s="177" t="s">
        <v>21</v>
      </c>
      <c r="H5" s="17"/>
      <c r="I5" s="164" t="s">
        <v>22</v>
      </c>
      <c r="J5" s="19"/>
      <c r="K5" s="164"/>
      <c r="L5" s="19"/>
      <c r="M5" s="164"/>
      <c r="N5" s="29"/>
      <c r="O5" s="170" t="s">
        <v>76</v>
      </c>
      <c r="P5" s="6"/>
      <c r="Q5" s="170"/>
      <c r="R5" s="5"/>
      <c r="S5" s="170"/>
    </row>
    <row r="6" spans="1:19" s="55" customFormat="1" ht="14.25">
      <c r="A6" s="76"/>
      <c r="B6" s="76"/>
      <c r="C6" s="76"/>
      <c r="D6" s="76"/>
      <c r="E6" s="171"/>
      <c r="F6" s="17"/>
      <c r="G6" s="177"/>
      <c r="H6" s="17"/>
      <c r="I6" s="164"/>
      <c r="J6" s="19"/>
      <c r="K6" s="164"/>
      <c r="L6" s="19"/>
      <c r="M6" s="164"/>
      <c r="N6" s="29"/>
      <c r="O6" s="170"/>
      <c r="P6" s="6"/>
      <c r="Q6" s="170"/>
      <c r="R6" s="5"/>
      <c r="S6" s="170"/>
    </row>
    <row r="7" spans="1:19" s="55" customFormat="1" ht="15" customHeight="1">
      <c r="A7" s="161" t="s">
        <v>12</v>
      </c>
      <c r="B7" s="76"/>
      <c r="C7" s="161" t="s">
        <v>3</v>
      </c>
      <c r="D7" s="76"/>
      <c r="E7" s="171"/>
      <c r="F7" s="17"/>
      <c r="G7" s="177"/>
      <c r="H7" s="17"/>
      <c r="I7" s="164"/>
      <c r="J7" s="19"/>
      <c r="K7" s="164"/>
      <c r="L7" s="19"/>
      <c r="M7" s="164"/>
      <c r="N7" s="29"/>
      <c r="O7" s="170"/>
      <c r="P7" s="6"/>
      <c r="Q7" s="170"/>
      <c r="R7" s="5"/>
      <c r="S7" s="170"/>
    </row>
    <row r="8" spans="1:19" s="55" customFormat="1" ht="23.25" customHeight="1" thickBot="1">
      <c r="A8" s="162"/>
      <c r="B8" s="83"/>
      <c r="C8" s="162"/>
      <c r="D8" s="83"/>
      <c r="E8" s="172"/>
      <c r="F8" s="18"/>
      <c r="G8" s="178"/>
      <c r="H8" s="18"/>
      <c r="I8" s="165"/>
      <c r="J8" s="20"/>
      <c r="K8" s="165"/>
      <c r="L8" s="20"/>
      <c r="M8" s="165"/>
      <c r="N8" s="30"/>
      <c r="O8" s="167"/>
      <c r="P8" s="8"/>
      <c r="Q8" s="167"/>
      <c r="R8" s="9"/>
      <c r="S8" s="167"/>
    </row>
    <row r="9" spans="1:19" s="55" customFormat="1" ht="14.25">
      <c r="A9" s="77"/>
      <c r="B9" s="77"/>
      <c r="C9" s="77"/>
      <c r="D9" s="77"/>
      <c r="E9" s="91"/>
      <c r="F9" s="77"/>
      <c r="G9" s="77"/>
      <c r="H9" s="77"/>
      <c r="I9" s="78"/>
      <c r="J9" s="77"/>
      <c r="K9" s="78"/>
      <c r="L9" s="77"/>
      <c r="M9" s="78"/>
      <c r="N9" s="92"/>
      <c r="O9" s="70"/>
      <c r="P9" s="77"/>
      <c r="Q9" s="70"/>
      <c r="R9" s="77"/>
      <c r="S9" s="70"/>
    </row>
    <row r="10" spans="1:19" s="55" customFormat="1" ht="14.25">
      <c r="A10" s="77">
        <v>1</v>
      </c>
      <c r="B10" s="77"/>
      <c r="C10" s="77">
        <v>2018</v>
      </c>
      <c r="D10" s="77"/>
      <c r="E10" s="91">
        <v>7680</v>
      </c>
      <c r="F10" s="77"/>
      <c r="G10" s="77">
        <v>96</v>
      </c>
      <c r="H10" s="77"/>
      <c r="I10" s="78">
        <f>SUM(G10*1200)</f>
        <v>115200</v>
      </c>
      <c r="J10" s="77"/>
      <c r="K10" s="78">
        <v>192000</v>
      </c>
      <c r="L10" s="77"/>
      <c r="M10" s="78">
        <f>SUM(G10*4166.67)</f>
        <v>400000.32</v>
      </c>
      <c r="N10" s="92"/>
      <c r="O10" s="70">
        <f>M10*4.01</f>
        <v>1604001.2832</v>
      </c>
      <c r="P10" s="77"/>
      <c r="Q10" s="97">
        <f>SUM(O10/(1.07)^A10)</f>
        <v>1499066.619813084</v>
      </c>
      <c r="R10" s="77"/>
      <c r="S10" s="70">
        <f>SUM(O10/(1.03)^A10)</f>
        <v>1557282.7992233008</v>
      </c>
    </row>
    <row r="11" spans="1:19" s="55" customFormat="1" ht="14.25">
      <c r="A11" s="77">
        <v>2</v>
      </c>
      <c r="B11" s="77"/>
      <c r="C11" s="77">
        <v>2019</v>
      </c>
      <c r="D11" s="77"/>
      <c r="E11" s="91">
        <v>7680</v>
      </c>
      <c r="F11" s="77"/>
      <c r="G11" s="77">
        <v>96</v>
      </c>
      <c r="H11" s="77"/>
      <c r="I11" s="78">
        <f aca="true" t="shared" si="0" ref="I11:I29">SUM(G11*1200)</f>
        <v>115200</v>
      </c>
      <c r="J11" s="77"/>
      <c r="K11" s="78">
        <v>192000</v>
      </c>
      <c r="L11" s="77"/>
      <c r="M11" s="78">
        <f aca="true" t="shared" si="1" ref="M11:M29">SUM(G11*4166.67)</f>
        <v>400000.32</v>
      </c>
      <c r="N11" s="92"/>
      <c r="O11" s="70">
        <f aca="true" t="shared" si="2" ref="O11:O29">M11*4.01</f>
        <v>1604001.2832</v>
      </c>
      <c r="P11" s="77"/>
      <c r="Q11" s="97">
        <f aca="true" t="shared" si="3" ref="Q11:Q29">SUM(O11/(1.07)^A11)</f>
        <v>1400996.8409468075</v>
      </c>
      <c r="R11" s="77"/>
      <c r="S11" s="70">
        <f aca="true" t="shared" si="4" ref="S11:S29">SUM(O11/(1.03)^A11)</f>
        <v>1511925.0477896126</v>
      </c>
    </row>
    <row r="12" spans="1:19" s="55" customFormat="1" ht="14.25">
      <c r="A12" s="77">
        <v>3</v>
      </c>
      <c r="B12" s="77"/>
      <c r="C12" s="77">
        <v>2020</v>
      </c>
      <c r="D12" s="77"/>
      <c r="E12" s="91">
        <v>7680</v>
      </c>
      <c r="F12" s="77"/>
      <c r="G12" s="77">
        <v>96</v>
      </c>
      <c r="H12" s="77"/>
      <c r="I12" s="78">
        <f t="shared" si="0"/>
        <v>115200</v>
      </c>
      <c r="J12" s="77"/>
      <c r="K12" s="78">
        <v>192000</v>
      </c>
      <c r="L12" s="77"/>
      <c r="M12" s="78">
        <f t="shared" si="1"/>
        <v>400000.32</v>
      </c>
      <c r="N12" s="92"/>
      <c r="O12" s="70">
        <f t="shared" si="2"/>
        <v>1604001.2832</v>
      </c>
      <c r="P12" s="77"/>
      <c r="Q12" s="97">
        <f t="shared" si="3"/>
        <v>1309342.842006362</v>
      </c>
      <c r="R12" s="77"/>
      <c r="S12" s="70">
        <f t="shared" si="4"/>
        <v>1467888.3959122451</v>
      </c>
    </row>
    <row r="13" spans="1:19" s="55" customFormat="1" ht="14.25">
      <c r="A13" s="77">
        <v>4</v>
      </c>
      <c r="B13" s="77"/>
      <c r="C13" s="77">
        <v>2021</v>
      </c>
      <c r="D13" s="77"/>
      <c r="E13" s="91">
        <v>7680</v>
      </c>
      <c r="F13" s="77"/>
      <c r="G13" s="77">
        <v>96</v>
      </c>
      <c r="H13" s="77"/>
      <c r="I13" s="78">
        <f t="shared" si="0"/>
        <v>115200</v>
      </c>
      <c r="J13" s="77"/>
      <c r="K13" s="78">
        <v>192000</v>
      </c>
      <c r="L13" s="77"/>
      <c r="M13" s="78">
        <f t="shared" si="1"/>
        <v>400000.32</v>
      </c>
      <c r="N13" s="92"/>
      <c r="O13" s="70">
        <f t="shared" si="2"/>
        <v>1604001.2832</v>
      </c>
      <c r="P13" s="77"/>
      <c r="Q13" s="97">
        <f t="shared" si="3"/>
        <v>1223684.8990713665</v>
      </c>
      <c r="R13" s="77"/>
      <c r="S13" s="70">
        <f t="shared" si="4"/>
        <v>1425134.364963345</v>
      </c>
    </row>
    <row r="14" spans="1:19" s="55" customFormat="1" ht="14.25">
      <c r="A14" s="77">
        <v>5</v>
      </c>
      <c r="B14" s="77"/>
      <c r="C14" s="77">
        <v>2022</v>
      </c>
      <c r="D14" s="77"/>
      <c r="E14" s="91">
        <v>15360</v>
      </c>
      <c r="F14" s="77"/>
      <c r="G14" s="77">
        <v>192</v>
      </c>
      <c r="H14" s="77"/>
      <c r="I14" s="78">
        <f t="shared" si="0"/>
        <v>230400</v>
      </c>
      <c r="J14" s="77"/>
      <c r="K14" s="78">
        <v>384000</v>
      </c>
      <c r="L14" s="77"/>
      <c r="M14" s="78">
        <f t="shared" si="1"/>
        <v>800000.64</v>
      </c>
      <c r="N14" s="92"/>
      <c r="O14" s="70">
        <f t="shared" si="2"/>
        <v>3208002.5664</v>
      </c>
      <c r="P14" s="77"/>
      <c r="Q14" s="97">
        <f t="shared" si="3"/>
        <v>2287261.493591339</v>
      </c>
      <c r="R14" s="77"/>
      <c r="S14" s="70">
        <f t="shared" si="4"/>
        <v>2767251.1941035828</v>
      </c>
    </row>
    <row r="15" spans="1:19" s="55" customFormat="1" ht="14.25">
      <c r="A15" s="77">
        <v>6</v>
      </c>
      <c r="B15" s="77"/>
      <c r="C15" s="77">
        <v>2023</v>
      </c>
      <c r="D15" s="77"/>
      <c r="E15" s="91">
        <v>15360</v>
      </c>
      <c r="F15" s="77"/>
      <c r="G15" s="77">
        <v>192</v>
      </c>
      <c r="H15" s="77"/>
      <c r="I15" s="78">
        <f t="shared" si="0"/>
        <v>230400</v>
      </c>
      <c r="J15" s="77"/>
      <c r="K15" s="78">
        <v>384000</v>
      </c>
      <c r="L15" s="77"/>
      <c r="M15" s="78">
        <f t="shared" si="1"/>
        <v>800000.64</v>
      </c>
      <c r="N15" s="92"/>
      <c r="O15" s="70">
        <f t="shared" si="2"/>
        <v>3208002.5664</v>
      </c>
      <c r="P15" s="77"/>
      <c r="Q15" s="97">
        <f t="shared" si="3"/>
        <v>2137627.5641040555</v>
      </c>
      <c r="R15" s="77"/>
      <c r="S15" s="70">
        <f t="shared" si="4"/>
        <v>2686651.6447607595</v>
      </c>
    </row>
    <row r="16" spans="1:19" s="55" customFormat="1" ht="14.25">
      <c r="A16" s="77">
        <v>7</v>
      </c>
      <c r="B16" s="77"/>
      <c r="C16" s="77">
        <v>2024</v>
      </c>
      <c r="D16" s="77"/>
      <c r="E16" s="91">
        <v>15360</v>
      </c>
      <c r="F16" s="77"/>
      <c r="G16" s="77">
        <v>192</v>
      </c>
      <c r="H16" s="77"/>
      <c r="I16" s="78">
        <f t="shared" si="0"/>
        <v>230400</v>
      </c>
      <c r="J16" s="77"/>
      <c r="K16" s="78">
        <v>384000</v>
      </c>
      <c r="L16" s="77"/>
      <c r="M16" s="78">
        <f t="shared" si="1"/>
        <v>800000.64</v>
      </c>
      <c r="N16" s="92"/>
      <c r="O16" s="70">
        <f t="shared" si="2"/>
        <v>3208002.5664</v>
      </c>
      <c r="P16" s="77"/>
      <c r="Q16" s="97">
        <f t="shared" si="3"/>
        <v>1997782.7701907058</v>
      </c>
      <c r="R16" s="77"/>
      <c r="S16" s="70">
        <f t="shared" si="4"/>
        <v>2608399.6551075336</v>
      </c>
    </row>
    <row r="17" spans="1:19" s="55" customFormat="1" ht="14.25">
      <c r="A17" s="77">
        <v>8</v>
      </c>
      <c r="B17" s="77"/>
      <c r="C17" s="77">
        <v>2025</v>
      </c>
      <c r="D17" s="77"/>
      <c r="E17" s="91">
        <v>16000</v>
      </c>
      <c r="F17" s="77"/>
      <c r="G17" s="77">
        <v>200</v>
      </c>
      <c r="H17" s="77"/>
      <c r="I17" s="78">
        <f t="shared" si="0"/>
        <v>240000</v>
      </c>
      <c r="J17" s="77"/>
      <c r="K17" s="78">
        <v>400000</v>
      </c>
      <c r="L17" s="77"/>
      <c r="M17" s="78">
        <f t="shared" si="1"/>
        <v>833334</v>
      </c>
      <c r="N17" s="92"/>
      <c r="O17" s="70">
        <f t="shared" si="2"/>
        <v>3341669.34</v>
      </c>
      <c r="P17" s="77"/>
      <c r="Q17" s="97">
        <f t="shared" si="3"/>
        <v>1944881.980325843</v>
      </c>
      <c r="R17" s="77"/>
      <c r="S17" s="70">
        <f t="shared" si="4"/>
        <v>2637944.635019755</v>
      </c>
    </row>
    <row r="18" spans="1:19" s="55" customFormat="1" ht="14.25">
      <c r="A18" s="77">
        <v>9</v>
      </c>
      <c r="B18" s="77"/>
      <c r="C18" s="77">
        <v>2026</v>
      </c>
      <c r="D18" s="77"/>
      <c r="E18" s="91">
        <v>16000</v>
      </c>
      <c r="F18" s="77"/>
      <c r="G18" s="77">
        <v>200</v>
      </c>
      <c r="H18" s="77"/>
      <c r="I18" s="78">
        <f t="shared" si="0"/>
        <v>240000</v>
      </c>
      <c r="J18" s="77"/>
      <c r="K18" s="78">
        <v>400000</v>
      </c>
      <c r="L18" s="77"/>
      <c r="M18" s="78">
        <f t="shared" si="1"/>
        <v>833334</v>
      </c>
      <c r="N18" s="92"/>
      <c r="O18" s="70">
        <f t="shared" si="2"/>
        <v>3341669.34</v>
      </c>
      <c r="P18" s="77"/>
      <c r="Q18" s="97">
        <f t="shared" si="3"/>
        <v>1817646.7105848996</v>
      </c>
      <c r="R18" s="77"/>
      <c r="S18" s="70">
        <f t="shared" si="4"/>
        <v>2561111.2961356845</v>
      </c>
    </row>
    <row r="19" spans="1:19" s="55" customFormat="1" ht="14.25">
      <c r="A19" s="77">
        <v>10</v>
      </c>
      <c r="B19" s="77"/>
      <c r="C19" s="77">
        <v>2027</v>
      </c>
      <c r="D19" s="77"/>
      <c r="E19" s="91">
        <v>16640</v>
      </c>
      <c r="F19" s="77"/>
      <c r="G19" s="77">
        <v>208</v>
      </c>
      <c r="H19" s="77"/>
      <c r="I19" s="78">
        <f t="shared" si="0"/>
        <v>249600</v>
      </c>
      <c r="J19" s="77"/>
      <c r="K19" s="78">
        <v>416000</v>
      </c>
      <c r="L19" s="77"/>
      <c r="M19" s="78">
        <f t="shared" si="1"/>
        <v>866667.36</v>
      </c>
      <c r="N19" s="92"/>
      <c r="O19" s="70">
        <f t="shared" si="2"/>
        <v>3475336.1136</v>
      </c>
      <c r="P19" s="77"/>
      <c r="Q19" s="97">
        <f t="shared" si="3"/>
        <v>1766684.653278781</v>
      </c>
      <c r="R19" s="77"/>
      <c r="S19" s="70">
        <f t="shared" si="4"/>
        <v>2585976.454350594</v>
      </c>
    </row>
    <row r="20" spans="1:19" s="55" customFormat="1" ht="14.25">
      <c r="A20" s="77">
        <v>11</v>
      </c>
      <c r="B20" s="77"/>
      <c r="C20" s="77">
        <v>2028</v>
      </c>
      <c r="D20" s="77"/>
      <c r="E20" s="91">
        <v>17280</v>
      </c>
      <c r="F20" s="77"/>
      <c r="G20" s="77">
        <v>216</v>
      </c>
      <c r="H20" s="77"/>
      <c r="I20" s="78">
        <f t="shared" si="0"/>
        <v>259200</v>
      </c>
      <c r="J20" s="77"/>
      <c r="K20" s="78">
        <v>432000</v>
      </c>
      <c r="L20" s="77"/>
      <c r="M20" s="78">
        <f t="shared" si="1"/>
        <v>900000.72</v>
      </c>
      <c r="N20" s="92"/>
      <c r="O20" s="70">
        <f t="shared" si="2"/>
        <v>3609002.8871999998</v>
      </c>
      <c r="P20" s="77"/>
      <c r="Q20" s="97">
        <f t="shared" si="3"/>
        <v>1714611.2738507218</v>
      </c>
      <c r="R20" s="77"/>
      <c r="S20" s="70">
        <f t="shared" si="4"/>
        <v>2607220.4730196428</v>
      </c>
    </row>
    <row r="21" spans="1:19" s="55" customFormat="1" ht="14.25">
      <c r="A21" s="77">
        <v>12</v>
      </c>
      <c r="B21" s="77"/>
      <c r="C21" s="77">
        <v>2029</v>
      </c>
      <c r="D21" s="77"/>
      <c r="E21" s="91">
        <v>17280</v>
      </c>
      <c r="F21" s="77"/>
      <c r="G21" s="77">
        <v>216</v>
      </c>
      <c r="H21" s="77"/>
      <c r="I21" s="78">
        <f t="shared" si="0"/>
        <v>259200</v>
      </c>
      <c r="J21" s="77"/>
      <c r="K21" s="78">
        <v>432000</v>
      </c>
      <c r="L21" s="77"/>
      <c r="M21" s="78">
        <f t="shared" si="1"/>
        <v>900000.72</v>
      </c>
      <c r="N21" s="92"/>
      <c r="O21" s="70">
        <f t="shared" si="2"/>
        <v>3609002.8871999998</v>
      </c>
      <c r="P21" s="77"/>
      <c r="Q21" s="97">
        <f t="shared" si="3"/>
        <v>1602440.4428511423</v>
      </c>
      <c r="R21" s="77"/>
      <c r="S21" s="70">
        <f t="shared" si="4"/>
        <v>2531282.01264043</v>
      </c>
    </row>
    <row r="22" spans="1:19" s="55" customFormat="1" ht="14.25">
      <c r="A22" s="77">
        <v>13</v>
      </c>
      <c r="B22" s="77"/>
      <c r="C22" s="77">
        <v>2030</v>
      </c>
      <c r="D22" s="77"/>
      <c r="E22" s="91">
        <v>17280</v>
      </c>
      <c r="F22" s="77"/>
      <c r="G22" s="77">
        <v>216</v>
      </c>
      <c r="H22" s="77"/>
      <c r="I22" s="78">
        <f t="shared" si="0"/>
        <v>259200</v>
      </c>
      <c r="J22" s="77"/>
      <c r="K22" s="78">
        <v>432000</v>
      </c>
      <c r="L22" s="77"/>
      <c r="M22" s="78">
        <f t="shared" si="1"/>
        <v>900000.72</v>
      </c>
      <c r="N22" s="92"/>
      <c r="O22" s="70">
        <f t="shared" si="2"/>
        <v>3609002.8871999998</v>
      </c>
      <c r="P22" s="77"/>
      <c r="Q22" s="97">
        <f t="shared" si="3"/>
        <v>1497607.890515086</v>
      </c>
      <c r="R22" s="77"/>
      <c r="S22" s="70">
        <f t="shared" si="4"/>
        <v>2457555.3520780876</v>
      </c>
    </row>
    <row r="23" spans="1:19" s="55" customFormat="1" ht="14.25">
      <c r="A23" s="77">
        <v>14</v>
      </c>
      <c r="B23" s="77"/>
      <c r="C23" s="77">
        <v>2031</v>
      </c>
      <c r="D23" s="77"/>
      <c r="E23" s="91">
        <v>17280</v>
      </c>
      <c r="F23" s="77"/>
      <c r="G23" s="77">
        <v>216</v>
      </c>
      <c r="H23" s="77"/>
      <c r="I23" s="78">
        <f t="shared" si="0"/>
        <v>259200</v>
      </c>
      <c r="J23" s="77"/>
      <c r="K23" s="78">
        <v>432000</v>
      </c>
      <c r="L23" s="77"/>
      <c r="M23" s="78">
        <f t="shared" si="1"/>
        <v>900000.72</v>
      </c>
      <c r="N23" s="92"/>
      <c r="O23" s="70">
        <f t="shared" si="2"/>
        <v>3609002.8871999998</v>
      </c>
      <c r="P23" s="77"/>
      <c r="Q23" s="97">
        <f t="shared" si="3"/>
        <v>1399633.5425374638</v>
      </c>
      <c r="R23" s="77"/>
      <c r="S23" s="70">
        <f t="shared" si="4"/>
        <v>2385976.0699787256</v>
      </c>
    </row>
    <row r="24" spans="1:19" s="55" customFormat="1" ht="14.25">
      <c r="A24" s="77">
        <v>15</v>
      </c>
      <c r="B24" s="77"/>
      <c r="C24" s="77">
        <v>2032</v>
      </c>
      <c r="D24" s="77"/>
      <c r="E24" s="91">
        <v>17920</v>
      </c>
      <c r="F24" s="77"/>
      <c r="G24" s="77">
        <v>224</v>
      </c>
      <c r="H24" s="77"/>
      <c r="I24" s="78">
        <f t="shared" si="0"/>
        <v>268800</v>
      </c>
      <c r="J24" s="77"/>
      <c r="K24" s="78">
        <v>448000</v>
      </c>
      <c r="L24" s="77"/>
      <c r="M24" s="78">
        <f t="shared" si="1"/>
        <v>933334.0800000001</v>
      </c>
      <c r="N24" s="92"/>
      <c r="O24" s="70">
        <f t="shared" si="2"/>
        <v>3742669.6608</v>
      </c>
      <c r="P24" s="77"/>
      <c r="Q24" s="97">
        <f t="shared" si="3"/>
        <v>1356515.7213931805</v>
      </c>
      <c r="R24" s="77"/>
      <c r="S24" s="70">
        <f t="shared" si="4"/>
        <v>2402277.236943701</v>
      </c>
    </row>
    <row r="25" spans="1:19" s="55" customFormat="1" ht="14.25">
      <c r="A25" s="77">
        <v>16</v>
      </c>
      <c r="B25" s="77"/>
      <c r="C25" s="77">
        <v>2033</v>
      </c>
      <c r="D25" s="77"/>
      <c r="E25" s="91">
        <v>17920</v>
      </c>
      <c r="F25" s="77"/>
      <c r="G25" s="77">
        <v>224</v>
      </c>
      <c r="H25" s="77"/>
      <c r="I25" s="78">
        <f t="shared" si="0"/>
        <v>268800</v>
      </c>
      <c r="J25" s="77"/>
      <c r="K25" s="78">
        <v>448000</v>
      </c>
      <c r="L25" s="77"/>
      <c r="M25" s="78">
        <f t="shared" si="1"/>
        <v>933334.0800000001</v>
      </c>
      <c r="N25" s="92"/>
      <c r="O25" s="70">
        <f t="shared" si="2"/>
        <v>3742669.6608</v>
      </c>
      <c r="P25" s="77"/>
      <c r="Q25" s="97">
        <f t="shared" si="3"/>
        <v>1267771.7022366174</v>
      </c>
      <c r="R25" s="77"/>
      <c r="S25" s="70">
        <f t="shared" si="4"/>
        <v>2332307.9970327197</v>
      </c>
    </row>
    <row r="26" spans="1:19" s="55" customFormat="1" ht="14.25">
      <c r="A26" s="77">
        <v>17</v>
      </c>
      <c r="B26" s="77"/>
      <c r="C26" s="77">
        <v>2034</v>
      </c>
      <c r="D26" s="77"/>
      <c r="E26" s="91">
        <v>17920</v>
      </c>
      <c r="F26" s="77"/>
      <c r="G26" s="77">
        <v>224</v>
      </c>
      <c r="H26" s="77"/>
      <c r="I26" s="78">
        <f t="shared" si="0"/>
        <v>268800</v>
      </c>
      <c r="J26" s="77"/>
      <c r="K26" s="78">
        <v>448000</v>
      </c>
      <c r="L26" s="77"/>
      <c r="M26" s="78">
        <f t="shared" si="1"/>
        <v>933334.0800000001</v>
      </c>
      <c r="N26" s="92"/>
      <c r="O26" s="70">
        <f t="shared" si="2"/>
        <v>3742669.6608</v>
      </c>
      <c r="P26" s="77"/>
      <c r="Q26" s="97">
        <f t="shared" si="3"/>
        <v>1184833.366576278</v>
      </c>
      <c r="R26" s="77"/>
      <c r="S26" s="70">
        <f t="shared" si="4"/>
        <v>2264376.6961482717</v>
      </c>
    </row>
    <row r="27" spans="1:19" s="55" customFormat="1" ht="14.25">
      <c r="A27" s="77">
        <v>18</v>
      </c>
      <c r="B27" s="77"/>
      <c r="C27" s="77">
        <v>2035</v>
      </c>
      <c r="D27" s="77"/>
      <c r="E27" s="91">
        <v>18480</v>
      </c>
      <c r="F27" s="77"/>
      <c r="G27" s="77">
        <v>231</v>
      </c>
      <c r="H27" s="77"/>
      <c r="I27" s="78">
        <f t="shared" si="0"/>
        <v>277200</v>
      </c>
      <c r="J27" s="77"/>
      <c r="K27" s="78">
        <v>462000</v>
      </c>
      <c r="L27" s="77"/>
      <c r="M27" s="78">
        <f t="shared" si="1"/>
        <v>962500.77</v>
      </c>
      <c r="N27" s="92"/>
      <c r="O27" s="70">
        <f t="shared" si="2"/>
        <v>3859628.0877</v>
      </c>
      <c r="P27" s="77"/>
      <c r="Q27" s="97">
        <f t="shared" si="3"/>
        <v>1141924.6815717632</v>
      </c>
      <c r="R27" s="77"/>
      <c r="S27" s="70">
        <f t="shared" si="4"/>
        <v>2267124.726119325</v>
      </c>
    </row>
    <row r="28" spans="1:19" s="55" customFormat="1" ht="14.25">
      <c r="A28" s="77">
        <v>19</v>
      </c>
      <c r="B28" s="77"/>
      <c r="C28" s="77">
        <v>2036</v>
      </c>
      <c r="D28" s="77"/>
      <c r="E28" s="91">
        <v>18480</v>
      </c>
      <c r="F28" s="77"/>
      <c r="G28" s="77">
        <v>231</v>
      </c>
      <c r="H28" s="77"/>
      <c r="I28" s="78">
        <f t="shared" si="0"/>
        <v>277200</v>
      </c>
      <c r="J28" s="77"/>
      <c r="K28" s="78">
        <v>462000</v>
      </c>
      <c r="L28" s="77"/>
      <c r="M28" s="78">
        <f t="shared" si="1"/>
        <v>962500.77</v>
      </c>
      <c r="N28" s="92"/>
      <c r="O28" s="70">
        <f t="shared" si="2"/>
        <v>3859628.0877</v>
      </c>
      <c r="P28" s="77"/>
      <c r="Q28" s="97">
        <f t="shared" si="3"/>
        <v>1067219.3285717412</v>
      </c>
      <c r="R28" s="77"/>
      <c r="S28" s="70">
        <f t="shared" si="4"/>
        <v>2201091.967106141</v>
      </c>
    </row>
    <row r="29" spans="1:20" s="55" customFormat="1" ht="14.25">
      <c r="A29" s="77">
        <v>20</v>
      </c>
      <c r="B29" s="77"/>
      <c r="C29" s="77">
        <v>2037</v>
      </c>
      <c r="D29" s="77"/>
      <c r="E29" s="93">
        <v>18480</v>
      </c>
      <c r="F29" s="44"/>
      <c r="G29" s="44">
        <v>231</v>
      </c>
      <c r="H29" s="44"/>
      <c r="I29" s="88">
        <f t="shared" si="0"/>
        <v>277200</v>
      </c>
      <c r="J29" s="44"/>
      <c r="K29" s="88">
        <v>462000</v>
      </c>
      <c r="L29" s="44"/>
      <c r="M29" s="88">
        <f t="shared" si="1"/>
        <v>962500.77</v>
      </c>
      <c r="N29" s="94"/>
      <c r="O29" s="71">
        <f t="shared" si="2"/>
        <v>3859628.0877</v>
      </c>
      <c r="P29" s="44"/>
      <c r="Q29" s="98">
        <f t="shared" si="3"/>
        <v>997401.241655833</v>
      </c>
      <c r="R29" s="44"/>
      <c r="S29" s="71">
        <f t="shared" si="4"/>
        <v>2136982.4923360595</v>
      </c>
      <c r="T29" s="61"/>
    </row>
    <row r="30" spans="1:19" s="55" customFormat="1" ht="14.25">
      <c r="A30" s="77"/>
      <c r="B30" s="77"/>
      <c r="C30" s="77"/>
      <c r="D30" s="77"/>
      <c r="E30" s="91"/>
      <c r="F30" s="77"/>
      <c r="G30" s="77"/>
      <c r="H30" s="77"/>
      <c r="I30" s="78"/>
      <c r="J30" s="77"/>
      <c r="K30" s="78"/>
      <c r="L30" s="77"/>
      <c r="M30" s="78"/>
      <c r="N30" s="92"/>
      <c r="O30" s="70"/>
      <c r="P30" s="77"/>
      <c r="Q30" s="70"/>
      <c r="R30" s="77"/>
      <c r="S30" s="70"/>
    </row>
    <row r="31" spans="1:19" s="55" customFormat="1" ht="15" thickBot="1">
      <c r="A31" s="77"/>
      <c r="B31" s="77"/>
      <c r="C31" s="77"/>
      <c r="D31" s="77"/>
      <c r="E31" s="91"/>
      <c r="F31" s="77"/>
      <c r="G31" s="77"/>
      <c r="H31" s="77"/>
      <c r="I31" s="78"/>
      <c r="J31" s="77"/>
      <c r="K31" s="78"/>
      <c r="L31" s="77"/>
      <c r="M31" s="81"/>
      <c r="N31" s="95"/>
      <c r="O31" s="86">
        <f>SUM(O10:O30)</f>
        <v>63441592.41990001</v>
      </c>
      <c r="P31" s="95">
        <f>SUM(P10:P29)</f>
        <v>0</v>
      </c>
      <c r="Q31" s="86">
        <f>SUM(Q10:Q29)</f>
        <v>30614935.56567307</v>
      </c>
      <c r="R31" s="95">
        <f>SUM(R10:R29)</f>
        <v>0</v>
      </c>
      <c r="S31" s="86">
        <f>SUM(S10:S29)</f>
        <v>45395760.51076951</v>
      </c>
    </row>
    <row r="32" spans="3:19" ht="15" thickTop="1">
      <c r="C32" s="90" t="s">
        <v>25</v>
      </c>
      <c r="D32" s="47"/>
      <c r="E32" s="89"/>
      <c r="F32" s="3"/>
      <c r="G32" s="3"/>
      <c r="H32" s="3"/>
      <c r="I32" s="26"/>
      <c r="J32" s="3"/>
      <c r="K32" s="26"/>
      <c r="L32" s="3"/>
      <c r="M32" s="26"/>
      <c r="N32" s="31"/>
      <c r="O32" s="57"/>
      <c r="P32" s="3"/>
      <c r="Q32" s="57"/>
      <c r="R32" s="3"/>
      <c r="S32" s="57"/>
    </row>
    <row r="33" spans="3:19" ht="12.75" customHeight="1">
      <c r="C33" s="75" t="s">
        <v>80</v>
      </c>
      <c r="D33" s="4"/>
      <c r="E33" s="23"/>
      <c r="F33" s="3"/>
      <c r="G33" s="3"/>
      <c r="H33" s="3"/>
      <c r="I33" s="26"/>
      <c r="J33" s="3"/>
      <c r="K33" s="26"/>
      <c r="L33" s="3"/>
      <c r="M33" s="26"/>
      <c r="N33" s="31"/>
      <c r="O33" s="57"/>
      <c r="P33" s="3"/>
      <c r="Q33" s="57"/>
      <c r="R33" s="3"/>
      <c r="S33" s="57"/>
    </row>
    <row r="34" spans="3:19" ht="12.75" customHeight="1">
      <c r="C34" s="75" t="s">
        <v>159</v>
      </c>
      <c r="D34" s="4"/>
      <c r="E34" s="23"/>
      <c r="F34" s="3"/>
      <c r="G34" s="3"/>
      <c r="H34" s="3"/>
      <c r="I34" s="26"/>
      <c r="J34" s="3"/>
      <c r="K34" s="26"/>
      <c r="L34" s="3"/>
      <c r="M34" s="26"/>
      <c r="N34" s="31"/>
      <c r="O34" s="57"/>
      <c r="P34" s="3"/>
      <c r="Q34" s="57"/>
      <c r="R34" s="3"/>
      <c r="S34" s="57"/>
    </row>
    <row r="35" spans="3:19" ht="12.75" customHeight="1">
      <c r="C35" s="75" t="s">
        <v>77</v>
      </c>
      <c r="D35" s="4"/>
      <c r="E35" s="23"/>
      <c r="F35" s="3"/>
      <c r="G35" s="3"/>
      <c r="H35" s="3"/>
      <c r="I35" s="26"/>
      <c r="J35" s="3"/>
      <c r="K35" s="26"/>
      <c r="L35" s="3"/>
      <c r="M35" s="26"/>
      <c r="N35" s="31"/>
      <c r="O35" s="57"/>
      <c r="P35" s="3"/>
      <c r="Q35" s="57"/>
      <c r="R35" s="3"/>
      <c r="S35" s="57"/>
    </row>
    <row r="36" spans="3:19" ht="12.75" customHeight="1">
      <c r="C36" s="75" t="s">
        <v>78</v>
      </c>
      <c r="D36" s="4"/>
      <c r="E36" s="23"/>
      <c r="F36" s="3"/>
      <c r="G36" s="3"/>
      <c r="H36" s="3"/>
      <c r="I36" s="26"/>
      <c r="J36" s="3"/>
      <c r="K36" s="26"/>
      <c r="L36" s="3"/>
      <c r="M36" s="26"/>
      <c r="N36" s="31"/>
      <c r="O36" s="57"/>
      <c r="P36" s="3"/>
      <c r="Q36" s="57"/>
      <c r="R36" s="3"/>
      <c r="S36" s="57"/>
    </row>
    <row r="37" spans="3:19" ht="12.75" customHeight="1">
      <c r="C37" s="75" t="s">
        <v>85</v>
      </c>
      <c r="D37" s="4"/>
      <c r="E37" s="23"/>
      <c r="F37" s="3"/>
      <c r="G37" s="3"/>
      <c r="H37" s="3"/>
      <c r="I37" s="26"/>
      <c r="J37" s="3"/>
      <c r="K37" s="26"/>
      <c r="L37" s="3"/>
      <c r="M37" s="26"/>
      <c r="N37" s="31"/>
      <c r="O37" s="57"/>
      <c r="P37" s="3"/>
      <c r="Q37" s="57"/>
      <c r="R37" s="3"/>
      <c r="S37" s="57"/>
    </row>
    <row r="38" spans="3:19" ht="25.5" customHeight="1">
      <c r="C38" s="75"/>
      <c r="D38" s="179" t="s">
        <v>163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96"/>
    </row>
    <row r="39" spans="3:19" ht="12.75" customHeight="1">
      <c r="C39" s="75" t="s">
        <v>79</v>
      </c>
      <c r="D39" s="4"/>
      <c r="E39" s="23"/>
      <c r="F39" s="3"/>
      <c r="G39" s="3"/>
      <c r="H39" s="3"/>
      <c r="I39" s="26"/>
      <c r="J39" s="3"/>
      <c r="K39" s="26"/>
      <c r="L39" s="3"/>
      <c r="M39" s="26"/>
      <c r="N39" s="31"/>
      <c r="O39" s="57"/>
      <c r="P39" s="3"/>
      <c r="Q39" s="57"/>
      <c r="R39" s="3"/>
      <c r="S39" s="57"/>
    </row>
    <row r="40" spans="3:19" ht="12.75" customHeight="1">
      <c r="C40" s="75" t="s">
        <v>8</v>
      </c>
      <c r="D40" s="4"/>
      <c r="E40" s="23"/>
      <c r="F40" s="3"/>
      <c r="G40" s="3"/>
      <c r="H40" s="3"/>
      <c r="I40" s="26"/>
      <c r="J40" s="3"/>
      <c r="K40" s="26"/>
      <c r="L40" s="3"/>
      <c r="M40" s="26"/>
      <c r="N40" s="31"/>
      <c r="O40" s="57"/>
      <c r="P40" s="3"/>
      <c r="Q40" s="57"/>
      <c r="R40" s="3"/>
      <c r="S40" s="57"/>
    </row>
    <row r="41" spans="3:19" ht="12.75" customHeight="1">
      <c r="C41" s="75" t="s">
        <v>9</v>
      </c>
      <c r="D41" s="3"/>
      <c r="E41" s="22"/>
      <c r="F41" s="3"/>
      <c r="G41" s="3"/>
      <c r="H41" s="3"/>
      <c r="I41" s="26"/>
      <c r="J41" s="3"/>
      <c r="K41" s="26"/>
      <c r="L41" s="3"/>
      <c r="M41" s="26"/>
      <c r="N41" s="31"/>
      <c r="O41" s="57"/>
      <c r="P41" s="3"/>
      <c r="Q41" s="57"/>
      <c r="R41" s="3"/>
      <c r="S41" s="57"/>
    </row>
    <row r="42" spans="3:19" ht="12.75" customHeight="1">
      <c r="C42" s="75" t="s">
        <v>28</v>
      </c>
      <c r="D42" s="3"/>
      <c r="E42" s="22"/>
      <c r="F42" s="3"/>
      <c r="G42" s="3"/>
      <c r="H42" s="3"/>
      <c r="I42" s="26"/>
      <c r="J42" s="3"/>
      <c r="K42" s="26"/>
      <c r="L42" s="3"/>
      <c r="M42" s="26"/>
      <c r="N42" s="31"/>
      <c r="O42" s="57"/>
      <c r="P42" s="3"/>
      <c r="Q42" s="57"/>
      <c r="R42" s="3"/>
      <c r="S42" s="57"/>
    </row>
    <row r="43" spans="3:19" ht="12.75" customHeight="1">
      <c r="C43" s="163" t="s">
        <v>29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</row>
    <row r="44" spans="3:19" ht="12.75" customHeight="1">
      <c r="C44" s="3"/>
      <c r="D44" s="3"/>
      <c r="E44" s="3"/>
      <c r="F44" s="3"/>
      <c r="G44" s="3"/>
      <c r="H44" s="3"/>
      <c r="I44" s="3"/>
      <c r="J44" s="3"/>
      <c r="K44" s="26"/>
      <c r="L44" s="3"/>
      <c r="M44" s="26"/>
      <c r="N44" s="3"/>
      <c r="O44" s="57"/>
      <c r="P44" s="3"/>
      <c r="Q44" s="57"/>
      <c r="R44" s="3"/>
      <c r="S44" s="57"/>
    </row>
    <row r="45" spans="3:19" ht="12.75" customHeight="1">
      <c r="C45" s="75" t="s">
        <v>83</v>
      </c>
      <c r="D45" s="3"/>
      <c r="E45" s="3"/>
      <c r="F45" s="3"/>
      <c r="G45" s="3"/>
      <c r="H45" s="3"/>
      <c r="I45" s="3"/>
      <c r="J45" s="3"/>
      <c r="K45" s="26"/>
      <c r="L45" s="3"/>
      <c r="M45" s="26"/>
      <c r="N45" s="3"/>
      <c r="O45" s="57"/>
      <c r="P45" s="3"/>
      <c r="Q45" s="57"/>
      <c r="R45" s="3"/>
      <c r="S45" s="57"/>
    </row>
    <row r="46" spans="3:19" ht="12.75" customHeight="1">
      <c r="C46" s="75" t="s">
        <v>169</v>
      </c>
      <c r="D46" s="3"/>
      <c r="E46" s="3"/>
      <c r="F46" s="3"/>
      <c r="G46" s="3"/>
      <c r="H46" s="3"/>
      <c r="I46" s="3"/>
      <c r="J46" s="3"/>
      <c r="K46" s="26"/>
      <c r="L46" s="3"/>
      <c r="M46" s="26"/>
      <c r="N46" s="3"/>
      <c r="O46" s="57"/>
      <c r="P46" s="3"/>
      <c r="Q46" s="57"/>
      <c r="R46" s="3"/>
      <c r="S46" s="57"/>
    </row>
    <row r="47" spans="3:19" ht="12.75" customHeight="1">
      <c r="C47" s="75" t="s">
        <v>84</v>
      </c>
      <c r="D47" s="3"/>
      <c r="E47" s="3"/>
      <c r="F47" s="3"/>
      <c r="G47" s="3"/>
      <c r="H47" s="3"/>
      <c r="I47" s="3"/>
      <c r="J47" s="3"/>
      <c r="K47" s="26"/>
      <c r="L47" s="3"/>
      <c r="M47" s="26"/>
      <c r="N47" s="3"/>
      <c r="O47" s="57"/>
      <c r="P47" s="3"/>
      <c r="Q47" s="57"/>
      <c r="R47" s="3"/>
      <c r="S47" s="57"/>
    </row>
  </sheetData>
  <sheetProtection/>
  <mergeCells count="12">
    <mergeCell ref="C43:S43"/>
    <mergeCell ref="O5:O8"/>
    <mergeCell ref="K4:K8"/>
    <mergeCell ref="M4:M8"/>
    <mergeCell ref="Q4:Q8"/>
    <mergeCell ref="S4:S8"/>
    <mergeCell ref="E5:E8"/>
    <mergeCell ref="G5:G8"/>
    <mergeCell ref="I5:I8"/>
    <mergeCell ref="D38:R38"/>
    <mergeCell ref="A7:A8"/>
    <mergeCell ref="C7:C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.7109375" style="0" customWidth="1"/>
    <col min="2" max="2" width="0.5625" style="0" customWidth="1"/>
    <col min="3" max="3" width="7.7109375" style="0" customWidth="1"/>
    <col min="4" max="4" width="0.42578125" style="0" customWidth="1"/>
    <col min="5" max="5" width="8.421875" style="0" customWidth="1"/>
    <col min="6" max="6" width="0.71875" style="0" customWidth="1"/>
    <col min="7" max="7" width="10.140625" style="0" customWidth="1"/>
    <col min="8" max="8" width="0.2890625" style="0" customWidth="1"/>
    <col min="9" max="9" width="9.7109375" style="25" customWidth="1"/>
    <col min="10" max="10" width="0.5625" style="0" customWidth="1"/>
    <col min="11" max="11" width="8.7109375" style="32" customWidth="1"/>
    <col min="12" max="12" width="0.5625" style="0" customWidth="1"/>
    <col min="13" max="13" width="13.421875" style="0" customWidth="1"/>
    <col min="14" max="14" width="0.2890625" style="0" customWidth="1"/>
    <col min="15" max="15" width="12.28125" style="37" customWidth="1"/>
    <col min="16" max="16" width="0.5625" style="0" customWidth="1"/>
    <col min="17" max="17" width="13.00390625" style="37" customWidth="1"/>
    <col min="18" max="18" width="1.1484375" style="0" customWidth="1"/>
    <col min="19" max="19" width="2.8515625" style="0" customWidth="1"/>
    <col min="20" max="20" width="5.00390625" style="0" customWidth="1"/>
    <col min="21" max="21" width="3.00390625" style="0" customWidth="1"/>
    <col min="22" max="22" width="5.140625" style="0" customWidth="1"/>
  </cols>
  <sheetData>
    <row r="1" spans="1:13" ht="23.25">
      <c r="A1" s="2" t="s">
        <v>0</v>
      </c>
      <c r="G1" s="25"/>
      <c r="J1" s="37"/>
      <c r="L1" s="37"/>
      <c r="M1" s="37"/>
    </row>
    <row r="2" spans="1:13" ht="14.25">
      <c r="A2" t="s">
        <v>172</v>
      </c>
      <c r="G2" s="25"/>
      <c r="J2" s="37"/>
      <c r="L2" s="37"/>
      <c r="M2" s="37"/>
    </row>
    <row r="3" spans="1:13" ht="14.25">
      <c r="A3" s="1" t="s">
        <v>86</v>
      </c>
      <c r="G3" s="25"/>
      <c r="J3" s="37"/>
      <c r="L3" s="37"/>
      <c r="M3" s="37"/>
    </row>
    <row r="4" spans="7:13" ht="14.25">
      <c r="G4" s="25"/>
      <c r="J4" s="37"/>
      <c r="L4" s="37"/>
      <c r="M4" s="37"/>
    </row>
    <row r="5" spans="1:17" ht="14.25">
      <c r="A5" s="3"/>
      <c r="B5" s="4"/>
      <c r="C5" s="4"/>
      <c r="D5" s="4"/>
      <c r="E5" s="23"/>
      <c r="F5" s="4"/>
      <c r="G5" s="27"/>
      <c r="H5" s="4"/>
      <c r="I5" s="27"/>
      <c r="J5" s="38"/>
      <c r="K5" s="180" t="s">
        <v>89</v>
      </c>
      <c r="L5" s="38"/>
      <c r="M5" s="170" t="s">
        <v>90</v>
      </c>
      <c r="N5" s="15"/>
      <c r="O5" s="170" t="s">
        <v>91</v>
      </c>
      <c r="P5" s="5"/>
      <c r="Q5" s="170" t="s">
        <v>92</v>
      </c>
    </row>
    <row r="6" spans="1:17" s="3" customFormat="1" ht="12" customHeight="1">
      <c r="A6" s="4"/>
      <c r="B6" s="4"/>
      <c r="C6" s="4"/>
      <c r="D6" s="4"/>
      <c r="E6" s="175" t="s">
        <v>31</v>
      </c>
      <c r="F6" s="17"/>
      <c r="G6" s="164" t="s">
        <v>87</v>
      </c>
      <c r="H6" s="17"/>
      <c r="I6" s="164" t="s">
        <v>88</v>
      </c>
      <c r="J6" s="39"/>
      <c r="K6" s="180"/>
      <c r="L6" s="39"/>
      <c r="M6" s="170"/>
      <c r="N6" s="19"/>
      <c r="O6" s="170"/>
      <c r="P6" s="5"/>
      <c r="Q6" s="170"/>
    </row>
    <row r="7" spans="1:17" s="3" customFormat="1" ht="15" customHeight="1">
      <c r="A7" s="4"/>
      <c r="B7" s="4"/>
      <c r="C7" s="4"/>
      <c r="D7" s="4"/>
      <c r="E7" s="175"/>
      <c r="F7" s="17"/>
      <c r="G7" s="164"/>
      <c r="H7" s="17"/>
      <c r="I7" s="164"/>
      <c r="J7" s="39"/>
      <c r="K7" s="180"/>
      <c r="L7" s="39"/>
      <c r="M7" s="170"/>
      <c r="N7" s="19"/>
      <c r="O7" s="170"/>
      <c r="P7" s="5"/>
      <c r="Q7" s="170"/>
    </row>
    <row r="8" spans="1:17" s="3" customFormat="1" ht="15" customHeight="1">
      <c r="A8" s="161" t="s">
        <v>12</v>
      </c>
      <c r="B8" s="4"/>
      <c r="C8" s="161" t="s">
        <v>3</v>
      </c>
      <c r="D8" s="4"/>
      <c r="E8" s="175"/>
      <c r="F8" s="17"/>
      <c r="G8" s="164"/>
      <c r="H8" s="17"/>
      <c r="I8" s="164"/>
      <c r="J8" s="39"/>
      <c r="K8" s="180"/>
      <c r="L8" s="39"/>
      <c r="M8" s="170"/>
      <c r="N8" s="19"/>
      <c r="O8" s="170"/>
      <c r="P8" s="5"/>
      <c r="Q8" s="170"/>
    </row>
    <row r="9" spans="1:17" s="3" customFormat="1" ht="15.75" customHeight="1" thickBot="1">
      <c r="A9" s="162"/>
      <c r="B9" s="7"/>
      <c r="C9" s="162"/>
      <c r="D9" s="7"/>
      <c r="E9" s="176"/>
      <c r="F9" s="18"/>
      <c r="G9" s="165"/>
      <c r="H9" s="18"/>
      <c r="I9" s="165"/>
      <c r="J9" s="40"/>
      <c r="K9" s="181"/>
      <c r="L9" s="40"/>
      <c r="M9" s="167"/>
      <c r="N9" s="20"/>
      <c r="O9" s="167"/>
      <c r="P9" s="9"/>
      <c r="Q9" s="167"/>
    </row>
    <row r="10" spans="7:17" s="3" customFormat="1" ht="12">
      <c r="G10" s="26"/>
      <c r="I10" s="26"/>
      <c r="J10" s="57"/>
      <c r="K10" s="33"/>
      <c r="L10" s="57"/>
      <c r="M10" s="57"/>
      <c r="O10" s="57"/>
      <c r="Q10" s="57"/>
    </row>
    <row r="11" spans="1:17" s="3" customFormat="1" ht="12">
      <c r="A11" s="77">
        <v>1</v>
      </c>
      <c r="B11" s="77"/>
      <c r="C11" s="77">
        <v>2018</v>
      </c>
      <c r="D11" s="77"/>
      <c r="E11" s="78">
        <v>9216000</v>
      </c>
      <c r="F11" s="77"/>
      <c r="G11" s="78">
        <f>SUM(E11/6)</f>
        <v>1536000</v>
      </c>
      <c r="H11" s="77"/>
      <c r="I11" s="78">
        <f>SUM(22.2*G11/2205)</f>
        <v>15464.489795918367</v>
      </c>
      <c r="J11" s="70"/>
      <c r="K11" s="97">
        <v>24.3</v>
      </c>
      <c r="L11" s="70"/>
      <c r="M11" s="70">
        <f>I11*K11</f>
        <v>375787.10204081633</v>
      </c>
      <c r="N11" s="77"/>
      <c r="O11" s="70">
        <f>SUM(M11/(1.07)^A11)</f>
        <v>351202.89910356665</v>
      </c>
      <c r="P11" s="77"/>
      <c r="Q11" s="70">
        <f>SUM(M11/(1.03)^A11)</f>
        <v>364841.8466415692</v>
      </c>
    </row>
    <row r="12" spans="1:17" s="3" customFormat="1" ht="12">
      <c r="A12" s="77">
        <v>2</v>
      </c>
      <c r="B12" s="77"/>
      <c r="C12" s="77">
        <v>2019</v>
      </c>
      <c r="D12" s="77"/>
      <c r="E12" s="78">
        <v>9216000</v>
      </c>
      <c r="F12" s="77"/>
      <c r="G12" s="78">
        <f aca="true" t="shared" si="0" ref="G12:G30">SUM(E12/6)</f>
        <v>1536000</v>
      </c>
      <c r="H12" s="77"/>
      <c r="I12" s="78">
        <f aca="true" t="shared" si="1" ref="I12:I30">SUM(22.2*G12/2205)</f>
        <v>15464.489795918367</v>
      </c>
      <c r="J12" s="70"/>
      <c r="K12" s="97">
        <v>24.8</v>
      </c>
      <c r="L12" s="70"/>
      <c r="M12" s="70">
        <f aca="true" t="shared" si="2" ref="M12:M30">I12*K12</f>
        <v>383519.3469387755</v>
      </c>
      <c r="N12" s="77"/>
      <c r="O12" s="70">
        <f aca="true" t="shared" si="3" ref="O12:O30">SUM(M12/(1.07)^A12)</f>
        <v>334980.6506583767</v>
      </c>
      <c r="P12" s="77"/>
      <c r="Q12" s="70">
        <f aca="true" t="shared" si="4" ref="Q12:Q30">SUM(M12/(1.03)^A12)</f>
        <v>361503.7674981389</v>
      </c>
    </row>
    <row r="13" spans="1:17" s="3" customFormat="1" ht="12">
      <c r="A13" s="77">
        <v>3</v>
      </c>
      <c r="B13" s="77"/>
      <c r="C13" s="77">
        <v>2020</v>
      </c>
      <c r="D13" s="77"/>
      <c r="E13" s="78">
        <v>9216000</v>
      </c>
      <c r="F13" s="77"/>
      <c r="G13" s="78">
        <f t="shared" si="0"/>
        <v>1536000</v>
      </c>
      <c r="H13" s="77"/>
      <c r="I13" s="78">
        <f t="shared" si="1"/>
        <v>15464.489795918367</v>
      </c>
      <c r="J13" s="70"/>
      <c r="K13" s="97">
        <v>25.3</v>
      </c>
      <c r="L13" s="70"/>
      <c r="M13" s="70">
        <f t="shared" si="2"/>
        <v>391251.5918367347</v>
      </c>
      <c r="N13" s="77"/>
      <c r="O13" s="70">
        <f t="shared" si="3"/>
        <v>319377.8437464927</v>
      </c>
      <c r="P13" s="77"/>
      <c r="Q13" s="70">
        <f t="shared" si="4"/>
        <v>358050.63097803446</v>
      </c>
    </row>
    <row r="14" spans="1:17" s="3" customFormat="1" ht="12">
      <c r="A14" s="77">
        <v>4</v>
      </c>
      <c r="B14" s="77"/>
      <c r="C14" s="77">
        <v>2021</v>
      </c>
      <c r="D14" s="77"/>
      <c r="E14" s="78">
        <v>9216000</v>
      </c>
      <c r="F14" s="77"/>
      <c r="G14" s="78">
        <f t="shared" si="0"/>
        <v>1536000</v>
      </c>
      <c r="H14" s="77"/>
      <c r="I14" s="78">
        <f t="shared" si="1"/>
        <v>15464.489795918367</v>
      </c>
      <c r="J14" s="70"/>
      <c r="K14" s="97">
        <v>25.8</v>
      </c>
      <c r="L14" s="70"/>
      <c r="M14" s="70">
        <f t="shared" si="2"/>
        <v>398983.8367346939</v>
      </c>
      <c r="N14" s="77"/>
      <c r="O14" s="70">
        <f t="shared" si="3"/>
        <v>304382.8587292495</v>
      </c>
      <c r="P14" s="77"/>
      <c r="Q14" s="70">
        <f t="shared" si="4"/>
        <v>354491.9712664834</v>
      </c>
    </row>
    <row r="15" spans="1:17" s="3" customFormat="1" ht="12">
      <c r="A15" s="77">
        <v>5</v>
      </c>
      <c r="B15" s="77"/>
      <c r="C15" s="77">
        <v>2022</v>
      </c>
      <c r="D15" s="77"/>
      <c r="E15" s="78">
        <v>18432000</v>
      </c>
      <c r="F15" s="77"/>
      <c r="G15" s="78">
        <f t="shared" si="0"/>
        <v>3072000</v>
      </c>
      <c r="H15" s="77"/>
      <c r="I15" s="78">
        <f t="shared" si="1"/>
        <v>30928.979591836734</v>
      </c>
      <c r="J15" s="70"/>
      <c r="K15" s="97">
        <v>26.3</v>
      </c>
      <c r="L15" s="70"/>
      <c r="M15" s="70">
        <f t="shared" si="2"/>
        <v>813432.1632653062</v>
      </c>
      <c r="N15" s="77"/>
      <c r="O15" s="70">
        <f t="shared" si="3"/>
        <v>579965.8903556662</v>
      </c>
      <c r="P15" s="77"/>
      <c r="Q15" s="70">
        <f t="shared" si="4"/>
        <v>701673.7295332666</v>
      </c>
    </row>
    <row r="16" spans="1:17" s="3" customFormat="1" ht="12">
      <c r="A16" s="77">
        <v>6</v>
      </c>
      <c r="B16" s="77"/>
      <c r="C16" s="77">
        <v>2023</v>
      </c>
      <c r="D16" s="77"/>
      <c r="E16" s="78">
        <v>18432000</v>
      </c>
      <c r="F16" s="77"/>
      <c r="G16" s="78">
        <f t="shared" si="0"/>
        <v>3072000</v>
      </c>
      <c r="H16" s="77"/>
      <c r="I16" s="78">
        <f t="shared" si="1"/>
        <v>30928.979591836734</v>
      </c>
      <c r="J16" s="70"/>
      <c r="K16" s="97">
        <v>26.8</v>
      </c>
      <c r="L16" s="70"/>
      <c r="M16" s="70">
        <f t="shared" si="2"/>
        <v>828896.6530612245</v>
      </c>
      <c r="N16" s="77"/>
      <c r="O16" s="70">
        <f t="shared" si="3"/>
        <v>552328.8391148805</v>
      </c>
      <c r="P16" s="77"/>
      <c r="Q16" s="70">
        <f t="shared" si="4"/>
        <v>694187.8973565486</v>
      </c>
    </row>
    <row r="17" spans="1:17" s="3" customFormat="1" ht="12">
      <c r="A17" s="77">
        <v>7</v>
      </c>
      <c r="B17" s="77"/>
      <c r="C17" s="77">
        <v>2024</v>
      </c>
      <c r="D17" s="77"/>
      <c r="E17" s="78">
        <v>18432000</v>
      </c>
      <c r="F17" s="77"/>
      <c r="G17" s="78">
        <f t="shared" si="0"/>
        <v>3072000</v>
      </c>
      <c r="H17" s="77"/>
      <c r="I17" s="78">
        <f t="shared" si="1"/>
        <v>30928.979591836734</v>
      </c>
      <c r="J17" s="70"/>
      <c r="K17" s="97">
        <v>27.3</v>
      </c>
      <c r="L17" s="70"/>
      <c r="M17" s="70">
        <f t="shared" si="2"/>
        <v>844361.1428571428</v>
      </c>
      <c r="N17" s="77"/>
      <c r="O17" s="70">
        <f t="shared" si="3"/>
        <v>525825.683771664</v>
      </c>
      <c r="P17" s="77"/>
      <c r="Q17" s="70">
        <f t="shared" si="4"/>
        <v>686542.8777653157</v>
      </c>
    </row>
    <row r="18" spans="1:17" s="3" customFormat="1" ht="12">
      <c r="A18" s="77">
        <v>8</v>
      </c>
      <c r="B18" s="77"/>
      <c r="C18" s="77">
        <v>2025</v>
      </c>
      <c r="D18" s="77"/>
      <c r="E18" s="78">
        <v>19200000</v>
      </c>
      <c r="F18" s="77"/>
      <c r="G18" s="78">
        <f t="shared" si="0"/>
        <v>3200000</v>
      </c>
      <c r="H18" s="77"/>
      <c r="I18" s="78">
        <f t="shared" si="1"/>
        <v>32217.687074829933</v>
      </c>
      <c r="J18" s="70"/>
      <c r="K18" s="97">
        <v>27.8</v>
      </c>
      <c r="L18" s="70"/>
      <c r="M18" s="70">
        <f t="shared" si="2"/>
        <v>895651.7006802722</v>
      </c>
      <c r="N18" s="77"/>
      <c r="O18" s="70">
        <f t="shared" si="3"/>
        <v>521277.444315079</v>
      </c>
      <c r="P18" s="77"/>
      <c r="Q18" s="70">
        <f t="shared" si="4"/>
        <v>707035.723245988</v>
      </c>
    </row>
    <row r="19" spans="1:17" s="3" customFormat="1" ht="12">
      <c r="A19" s="77">
        <v>9</v>
      </c>
      <c r="B19" s="77"/>
      <c r="C19" s="77">
        <v>2026</v>
      </c>
      <c r="D19" s="77"/>
      <c r="E19" s="78">
        <v>19200000</v>
      </c>
      <c r="F19" s="77"/>
      <c r="G19" s="78">
        <f t="shared" si="0"/>
        <v>3200000</v>
      </c>
      <c r="H19" s="77"/>
      <c r="I19" s="78">
        <f t="shared" si="1"/>
        <v>32217.687074829933</v>
      </c>
      <c r="J19" s="70"/>
      <c r="K19" s="97">
        <v>28.3</v>
      </c>
      <c r="L19" s="70"/>
      <c r="M19" s="70">
        <f t="shared" si="2"/>
        <v>911760.5442176871</v>
      </c>
      <c r="N19" s="77"/>
      <c r="O19" s="70">
        <f t="shared" si="3"/>
        <v>495937.32515688613</v>
      </c>
      <c r="P19" s="77"/>
      <c r="Q19" s="70">
        <f t="shared" si="4"/>
        <v>698788.5369791667</v>
      </c>
    </row>
    <row r="20" spans="1:17" s="3" customFormat="1" ht="12">
      <c r="A20" s="77">
        <v>10</v>
      </c>
      <c r="B20" s="77"/>
      <c r="C20" s="77">
        <v>2027</v>
      </c>
      <c r="D20" s="77"/>
      <c r="E20" s="78">
        <v>19968000</v>
      </c>
      <c r="F20" s="77"/>
      <c r="G20" s="78">
        <f t="shared" si="0"/>
        <v>3328000</v>
      </c>
      <c r="H20" s="77"/>
      <c r="I20" s="78">
        <f t="shared" si="1"/>
        <v>33506.39455782313</v>
      </c>
      <c r="J20" s="70"/>
      <c r="K20" s="97">
        <v>28.8</v>
      </c>
      <c r="L20" s="70"/>
      <c r="M20" s="70">
        <f t="shared" si="2"/>
        <v>964984.1632653062</v>
      </c>
      <c r="N20" s="77"/>
      <c r="O20" s="70">
        <f t="shared" si="3"/>
        <v>490549.01631713135</v>
      </c>
      <c r="P20" s="77"/>
      <c r="Q20" s="70">
        <f t="shared" si="4"/>
        <v>718038.8438574222</v>
      </c>
    </row>
    <row r="21" spans="1:17" s="3" customFormat="1" ht="12">
      <c r="A21" s="77">
        <v>11</v>
      </c>
      <c r="B21" s="77"/>
      <c r="C21" s="77">
        <v>2028</v>
      </c>
      <c r="D21" s="77"/>
      <c r="E21" s="78">
        <v>20736000</v>
      </c>
      <c r="F21" s="77"/>
      <c r="G21" s="78">
        <f t="shared" si="0"/>
        <v>3456000</v>
      </c>
      <c r="H21" s="77"/>
      <c r="I21" s="78">
        <f t="shared" si="1"/>
        <v>34795.102040816324</v>
      </c>
      <c r="J21" s="70"/>
      <c r="K21" s="97">
        <v>29.3</v>
      </c>
      <c r="L21" s="70"/>
      <c r="M21" s="70">
        <f t="shared" si="2"/>
        <v>1019496.4897959183</v>
      </c>
      <c r="N21" s="77"/>
      <c r="O21" s="70">
        <f t="shared" si="3"/>
        <v>484355.43824447156</v>
      </c>
      <c r="P21" s="77"/>
      <c r="Q21" s="70">
        <f t="shared" si="4"/>
        <v>736505.9556463243</v>
      </c>
    </row>
    <row r="22" spans="1:17" s="3" customFormat="1" ht="12">
      <c r="A22" s="77">
        <v>12</v>
      </c>
      <c r="B22" s="77"/>
      <c r="C22" s="77">
        <v>2029</v>
      </c>
      <c r="D22" s="77"/>
      <c r="E22" s="78">
        <v>20736000</v>
      </c>
      <c r="F22" s="77"/>
      <c r="G22" s="78">
        <f t="shared" si="0"/>
        <v>3456000</v>
      </c>
      <c r="H22" s="77"/>
      <c r="I22" s="78">
        <f t="shared" si="1"/>
        <v>34795.102040816324</v>
      </c>
      <c r="J22" s="70"/>
      <c r="K22" s="97">
        <v>29.8</v>
      </c>
      <c r="L22" s="70"/>
      <c r="M22" s="70">
        <f t="shared" si="2"/>
        <v>1036894.0408163265</v>
      </c>
      <c r="N22" s="77"/>
      <c r="O22" s="70">
        <f t="shared" si="3"/>
        <v>460393.3545879001</v>
      </c>
      <c r="P22" s="77"/>
      <c r="Q22" s="70">
        <f t="shared" si="4"/>
        <v>727256.618120563</v>
      </c>
    </row>
    <row r="23" spans="1:17" s="3" customFormat="1" ht="12">
      <c r="A23" s="77">
        <v>13</v>
      </c>
      <c r="B23" s="77"/>
      <c r="C23" s="77">
        <v>2030</v>
      </c>
      <c r="D23" s="77"/>
      <c r="E23" s="78">
        <v>20736000</v>
      </c>
      <c r="F23" s="77"/>
      <c r="G23" s="78">
        <f t="shared" si="0"/>
        <v>3456000</v>
      </c>
      <c r="H23" s="77"/>
      <c r="I23" s="78">
        <f t="shared" si="1"/>
        <v>34795.102040816324</v>
      </c>
      <c r="J23" s="70"/>
      <c r="K23" s="97">
        <v>30.3</v>
      </c>
      <c r="L23" s="70"/>
      <c r="M23" s="70">
        <f t="shared" si="2"/>
        <v>1054291.5918367347</v>
      </c>
      <c r="N23" s="77"/>
      <c r="O23" s="70">
        <f t="shared" si="3"/>
        <v>437493.5283200581</v>
      </c>
      <c r="P23" s="77"/>
      <c r="Q23" s="70">
        <f t="shared" si="4"/>
        <v>717921.2722047651</v>
      </c>
    </row>
    <row r="24" spans="1:17" s="3" customFormat="1" ht="12">
      <c r="A24" s="77">
        <v>14</v>
      </c>
      <c r="B24" s="77"/>
      <c r="C24" s="77">
        <v>2031</v>
      </c>
      <c r="D24" s="77"/>
      <c r="E24" s="78">
        <v>20736000</v>
      </c>
      <c r="F24" s="77"/>
      <c r="G24" s="78">
        <f t="shared" si="0"/>
        <v>3456000</v>
      </c>
      <c r="H24" s="77"/>
      <c r="I24" s="78">
        <f t="shared" si="1"/>
        <v>34795.102040816324</v>
      </c>
      <c r="J24" s="70"/>
      <c r="K24" s="97">
        <v>30.8</v>
      </c>
      <c r="L24" s="70"/>
      <c r="M24" s="70">
        <f t="shared" si="2"/>
        <v>1071689.1428571427</v>
      </c>
      <c r="N24" s="77"/>
      <c r="O24" s="70">
        <f t="shared" si="3"/>
        <v>415619.5266110789</v>
      </c>
      <c r="P24" s="77"/>
      <c r="Q24" s="70">
        <f t="shared" si="4"/>
        <v>708512.774645351</v>
      </c>
    </row>
    <row r="25" spans="1:17" s="3" customFormat="1" ht="12">
      <c r="A25" s="77">
        <v>15</v>
      </c>
      <c r="B25" s="77"/>
      <c r="C25" s="77">
        <v>2032</v>
      </c>
      <c r="D25" s="77"/>
      <c r="E25" s="78">
        <v>21504000</v>
      </c>
      <c r="F25" s="77"/>
      <c r="G25" s="78">
        <f t="shared" si="0"/>
        <v>3584000</v>
      </c>
      <c r="H25" s="77"/>
      <c r="I25" s="78">
        <f t="shared" si="1"/>
        <v>36083.80952380953</v>
      </c>
      <c r="J25" s="70"/>
      <c r="K25" s="97">
        <v>31.3</v>
      </c>
      <c r="L25" s="70"/>
      <c r="M25" s="70">
        <f t="shared" si="2"/>
        <v>1129423.238095238</v>
      </c>
      <c r="N25" s="77"/>
      <c r="O25" s="70">
        <f t="shared" si="3"/>
        <v>409354.95713920414</v>
      </c>
      <c r="P25" s="77"/>
      <c r="Q25" s="70">
        <f t="shared" si="4"/>
        <v>724933.7990389162</v>
      </c>
    </row>
    <row r="26" spans="1:17" s="3" customFormat="1" ht="12">
      <c r="A26" s="77">
        <v>16</v>
      </c>
      <c r="B26" s="77"/>
      <c r="C26" s="77">
        <v>2033</v>
      </c>
      <c r="D26" s="77"/>
      <c r="E26" s="78">
        <v>21504000</v>
      </c>
      <c r="F26" s="77"/>
      <c r="G26" s="78">
        <f t="shared" si="0"/>
        <v>3584000</v>
      </c>
      <c r="H26" s="77"/>
      <c r="I26" s="78">
        <f t="shared" si="1"/>
        <v>36083.80952380953</v>
      </c>
      <c r="J26" s="70"/>
      <c r="K26" s="97">
        <v>31.8</v>
      </c>
      <c r="L26" s="70"/>
      <c r="M26" s="70">
        <f t="shared" si="2"/>
        <v>1147465.142857143</v>
      </c>
      <c r="N26" s="77"/>
      <c r="O26" s="70">
        <f t="shared" si="3"/>
        <v>388686.14365133</v>
      </c>
      <c r="P26" s="77"/>
      <c r="Q26" s="70">
        <f t="shared" si="4"/>
        <v>715062.340936057</v>
      </c>
    </row>
    <row r="27" spans="1:17" s="3" customFormat="1" ht="12">
      <c r="A27" s="77">
        <v>17</v>
      </c>
      <c r="B27" s="77"/>
      <c r="C27" s="77">
        <v>2034</v>
      </c>
      <c r="D27" s="77"/>
      <c r="E27" s="78">
        <v>21504000</v>
      </c>
      <c r="F27" s="77"/>
      <c r="G27" s="78">
        <f t="shared" si="0"/>
        <v>3584000</v>
      </c>
      <c r="H27" s="77"/>
      <c r="I27" s="78">
        <f t="shared" si="1"/>
        <v>36083.80952380953</v>
      </c>
      <c r="J27" s="70"/>
      <c r="K27" s="97">
        <v>32.3</v>
      </c>
      <c r="L27" s="70"/>
      <c r="M27" s="70">
        <f t="shared" si="2"/>
        <v>1165507.0476190476</v>
      </c>
      <c r="N27" s="77"/>
      <c r="O27" s="70">
        <f t="shared" si="3"/>
        <v>368969.68318162457</v>
      </c>
      <c r="P27" s="77"/>
      <c r="Q27" s="70">
        <f t="shared" si="4"/>
        <v>705150.9315575087</v>
      </c>
    </row>
    <row r="28" spans="1:17" s="3" customFormat="1" ht="12">
      <c r="A28" s="77">
        <v>18</v>
      </c>
      <c r="B28" s="77"/>
      <c r="C28" s="77">
        <v>2035</v>
      </c>
      <c r="D28" s="77"/>
      <c r="E28" s="78">
        <v>22176000</v>
      </c>
      <c r="F28" s="77"/>
      <c r="G28" s="78">
        <f t="shared" si="0"/>
        <v>3696000</v>
      </c>
      <c r="H28" s="77"/>
      <c r="I28" s="78">
        <f t="shared" si="1"/>
        <v>37211.42857142857</v>
      </c>
      <c r="J28" s="70"/>
      <c r="K28" s="97">
        <v>32.8</v>
      </c>
      <c r="L28" s="70"/>
      <c r="M28" s="70">
        <f t="shared" si="2"/>
        <v>1220534.857142857</v>
      </c>
      <c r="N28" s="77"/>
      <c r="O28" s="70">
        <f t="shared" si="3"/>
        <v>361112.22284130816</v>
      </c>
      <c r="P28" s="77"/>
      <c r="Q28" s="70">
        <f t="shared" si="4"/>
        <v>716935.5934934242</v>
      </c>
    </row>
    <row r="29" spans="1:17" s="3" customFormat="1" ht="12">
      <c r="A29" s="77">
        <v>19</v>
      </c>
      <c r="B29" s="77"/>
      <c r="C29" s="77">
        <v>2036</v>
      </c>
      <c r="D29" s="77"/>
      <c r="E29" s="78">
        <v>22176000</v>
      </c>
      <c r="F29" s="77"/>
      <c r="G29" s="78">
        <f t="shared" si="0"/>
        <v>3696000</v>
      </c>
      <c r="H29" s="77"/>
      <c r="I29" s="78">
        <f t="shared" si="1"/>
        <v>37211.42857142857</v>
      </c>
      <c r="J29" s="70"/>
      <c r="K29" s="97">
        <v>33.3</v>
      </c>
      <c r="L29" s="70"/>
      <c r="M29" s="70">
        <f t="shared" si="2"/>
        <v>1239140.5714285714</v>
      </c>
      <c r="N29" s="77"/>
      <c r="O29" s="70">
        <f t="shared" si="3"/>
        <v>342632.69377181336</v>
      </c>
      <c r="P29" s="77"/>
      <c r="Q29" s="70">
        <f t="shared" si="4"/>
        <v>706664.5531414583</v>
      </c>
    </row>
    <row r="30" spans="1:18" s="3" customFormat="1" ht="12">
      <c r="A30" s="77">
        <v>20</v>
      </c>
      <c r="B30" s="77"/>
      <c r="C30" s="77">
        <v>2037</v>
      </c>
      <c r="D30" s="77"/>
      <c r="E30" s="88">
        <v>22176000</v>
      </c>
      <c r="F30" s="44"/>
      <c r="G30" s="88">
        <f t="shared" si="0"/>
        <v>3696000</v>
      </c>
      <c r="H30" s="44"/>
      <c r="I30" s="88">
        <f t="shared" si="1"/>
        <v>37211.42857142857</v>
      </c>
      <c r="J30" s="71"/>
      <c r="K30" s="98">
        <v>33.8</v>
      </c>
      <c r="L30" s="71"/>
      <c r="M30" s="71">
        <f t="shared" si="2"/>
        <v>1257746.2857142857</v>
      </c>
      <c r="N30" s="44"/>
      <c r="O30" s="71">
        <f t="shared" si="3"/>
        <v>325025.5409471329</v>
      </c>
      <c r="P30" s="44"/>
      <c r="Q30" s="71">
        <f t="shared" si="4"/>
        <v>696383.6233179186</v>
      </c>
      <c r="R30" s="47"/>
    </row>
    <row r="31" spans="1:17" s="3" customFormat="1" ht="12">
      <c r="A31" s="77"/>
      <c r="B31" s="77"/>
      <c r="C31" s="77"/>
      <c r="D31" s="77"/>
      <c r="E31" s="77"/>
      <c r="F31" s="77"/>
      <c r="G31" s="78"/>
      <c r="H31" s="77"/>
      <c r="I31" s="78"/>
      <c r="J31" s="70"/>
      <c r="K31" s="97"/>
      <c r="L31" s="70"/>
      <c r="M31" s="70"/>
      <c r="N31" s="77"/>
      <c r="O31" s="70"/>
      <c r="P31" s="77"/>
      <c r="Q31" s="70"/>
    </row>
    <row r="32" spans="1:18" s="3" customFormat="1" ht="12" thickBot="1">
      <c r="A32" s="77"/>
      <c r="B32" s="77"/>
      <c r="C32" s="77"/>
      <c r="D32" s="77"/>
      <c r="E32" s="77"/>
      <c r="F32" s="77"/>
      <c r="G32" s="78"/>
      <c r="H32" s="76"/>
      <c r="I32" s="81"/>
      <c r="J32" s="54"/>
      <c r="K32" s="99"/>
      <c r="L32" s="86"/>
      <c r="M32" s="86">
        <f>SUM(M11:M31)</f>
        <v>18150816.653061226</v>
      </c>
      <c r="N32" s="86"/>
      <c r="O32" s="86">
        <f>SUM(O11:O30)</f>
        <v>8469471.540564915</v>
      </c>
      <c r="P32" s="86"/>
      <c r="Q32" s="86">
        <f>SUM(Q11:Q30)</f>
        <v>12800483.28722422</v>
      </c>
      <c r="R32" s="72"/>
    </row>
    <row r="33" spans="7:17" s="3" customFormat="1" ht="12" thickTop="1">
      <c r="G33" s="26"/>
      <c r="I33" s="26"/>
      <c r="J33" s="57"/>
      <c r="K33" s="33"/>
      <c r="L33" s="57"/>
      <c r="M33" s="57"/>
      <c r="O33" s="57"/>
      <c r="Q33" s="57"/>
    </row>
    <row r="34" spans="7:17" s="3" customFormat="1" ht="12">
      <c r="G34" s="26"/>
      <c r="I34" s="26"/>
      <c r="J34" s="57"/>
      <c r="K34" s="33"/>
      <c r="L34" s="57"/>
      <c r="M34" s="57"/>
      <c r="O34" s="57"/>
      <c r="Q34" s="57"/>
    </row>
    <row r="35" spans="2:17" s="3" customFormat="1" ht="12">
      <c r="B35" s="74" t="s">
        <v>25</v>
      </c>
      <c r="G35" s="26"/>
      <c r="I35" s="26"/>
      <c r="J35" s="57"/>
      <c r="K35" s="33"/>
      <c r="L35" s="57"/>
      <c r="M35" s="57"/>
      <c r="O35" s="57"/>
      <c r="Q35" s="57"/>
    </row>
    <row r="36" spans="2:17" s="3" customFormat="1" ht="12">
      <c r="B36" s="75" t="s">
        <v>93</v>
      </c>
      <c r="C36" s="75"/>
      <c r="D36" s="75"/>
      <c r="G36" s="26"/>
      <c r="I36" s="26"/>
      <c r="J36" s="57"/>
      <c r="K36" s="33"/>
      <c r="L36" s="57"/>
      <c r="M36" s="57"/>
      <c r="O36" s="57"/>
      <c r="Q36" s="57"/>
    </row>
    <row r="37" spans="2:17" s="3" customFormat="1" ht="12">
      <c r="B37" s="75"/>
      <c r="C37" s="75" t="s">
        <v>94</v>
      </c>
      <c r="D37" s="75"/>
      <c r="G37" s="26"/>
      <c r="I37" s="26"/>
      <c r="J37" s="57"/>
      <c r="K37" s="33"/>
      <c r="L37" s="57"/>
      <c r="M37" s="57"/>
      <c r="O37" s="57"/>
      <c r="Q37" s="57"/>
    </row>
    <row r="38" spans="2:17" s="3" customFormat="1" ht="12">
      <c r="B38" s="75"/>
      <c r="C38" s="75" t="s">
        <v>95</v>
      </c>
      <c r="D38" s="75"/>
      <c r="G38" s="26"/>
      <c r="I38" s="26"/>
      <c r="J38" s="57"/>
      <c r="K38" s="33"/>
      <c r="L38" s="57"/>
      <c r="M38" s="57"/>
      <c r="O38" s="57"/>
      <c r="Q38" s="57"/>
    </row>
    <row r="39" spans="2:17" s="3" customFormat="1" ht="12">
      <c r="B39" s="75"/>
      <c r="C39" s="75" t="s">
        <v>96</v>
      </c>
      <c r="D39" s="75"/>
      <c r="G39" s="26"/>
      <c r="I39" s="26"/>
      <c r="J39" s="57"/>
      <c r="K39" s="33"/>
      <c r="L39" s="57"/>
      <c r="M39" s="57"/>
      <c r="O39" s="57"/>
      <c r="Q39" s="57"/>
    </row>
    <row r="40" spans="2:17" s="3" customFormat="1" ht="12">
      <c r="B40" s="75" t="s">
        <v>97</v>
      </c>
      <c r="C40" s="75"/>
      <c r="D40" s="75"/>
      <c r="G40" s="26"/>
      <c r="I40" s="26"/>
      <c r="J40" s="57"/>
      <c r="K40" s="33"/>
      <c r="L40" s="57"/>
      <c r="M40" s="57"/>
      <c r="O40" s="57"/>
      <c r="Q40" s="57"/>
    </row>
    <row r="41" spans="2:17" s="3" customFormat="1" ht="12">
      <c r="B41" s="75" t="s">
        <v>98</v>
      </c>
      <c r="C41" s="75"/>
      <c r="D41" s="75"/>
      <c r="G41" s="26"/>
      <c r="I41" s="26"/>
      <c r="J41" s="57"/>
      <c r="K41" s="33"/>
      <c r="L41" s="57"/>
      <c r="M41" s="57"/>
      <c r="O41" s="57"/>
      <c r="Q41" s="57"/>
    </row>
    <row r="42" spans="2:17" s="3" customFormat="1" ht="12">
      <c r="B42" s="74"/>
      <c r="C42" s="3" t="s">
        <v>99</v>
      </c>
      <c r="G42" s="26"/>
      <c r="I42" s="26"/>
      <c r="J42" s="57"/>
      <c r="K42" s="33"/>
      <c r="L42" s="57"/>
      <c r="M42" s="57"/>
      <c r="O42" s="57"/>
      <c r="Q42" s="57"/>
    </row>
    <row r="43" spans="2:17" s="3" customFormat="1" ht="12">
      <c r="B43" s="74"/>
      <c r="C43" s="3" t="s">
        <v>100</v>
      </c>
      <c r="G43" s="26"/>
      <c r="I43" s="26"/>
      <c r="J43" s="57"/>
      <c r="K43" s="33"/>
      <c r="L43" s="57"/>
      <c r="M43" s="57"/>
      <c r="O43" s="57"/>
      <c r="Q43" s="57"/>
    </row>
    <row r="44" spans="2:17" s="3" customFormat="1" ht="12">
      <c r="B44" s="75" t="s">
        <v>9</v>
      </c>
      <c r="G44" s="26"/>
      <c r="I44" s="26"/>
      <c r="J44" s="57"/>
      <c r="K44" s="33"/>
      <c r="L44" s="57"/>
      <c r="M44" s="57"/>
      <c r="O44" s="57"/>
      <c r="Q44" s="57"/>
    </row>
    <row r="45" spans="2:18" s="3" customFormat="1" ht="12">
      <c r="B45" s="163" t="s">
        <v>38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</row>
  </sheetData>
  <sheetProtection/>
  <mergeCells count="10">
    <mergeCell ref="A8:A9"/>
    <mergeCell ref="C8:C9"/>
    <mergeCell ref="B45:R45"/>
    <mergeCell ref="M5:M9"/>
    <mergeCell ref="K5:K9"/>
    <mergeCell ref="O5:O9"/>
    <mergeCell ref="Q5:Q9"/>
    <mergeCell ref="E6:E9"/>
    <mergeCell ref="G6:G9"/>
    <mergeCell ref="I6:I9"/>
  </mergeCells>
  <printOptions/>
  <pageMargins left="0.7" right="0.4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4.28125" style="0" customWidth="1"/>
    <col min="2" max="2" width="0.5625" style="0" customWidth="1"/>
    <col min="3" max="3" width="7.7109375" style="0" customWidth="1"/>
    <col min="4" max="4" width="0.42578125" style="0" customWidth="1"/>
    <col min="5" max="5" width="7.28125" style="0" customWidth="1"/>
    <col min="6" max="6" width="0.2890625" style="0" customWidth="1"/>
    <col min="7" max="7" width="7.140625" style="0" customWidth="1"/>
    <col min="8" max="8" width="0.42578125" style="0" customWidth="1"/>
    <col min="9" max="9" width="7.140625" style="0" customWidth="1"/>
    <col min="10" max="10" width="0.71875" style="0" customWidth="1"/>
    <col min="11" max="11" width="7.140625" style="0" customWidth="1"/>
    <col min="12" max="12" width="0.71875" style="0" customWidth="1"/>
    <col min="13" max="13" width="9.57421875" style="0" customWidth="1"/>
    <col min="14" max="14" width="0.85546875" style="0" customWidth="1"/>
    <col min="15" max="15" width="9.00390625" style="25" customWidth="1"/>
    <col min="16" max="16" width="0.42578125" style="0" customWidth="1"/>
    <col min="17" max="17" width="9.00390625" style="32" customWidth="1"/>
    <col min="18" max="18" width="0.42578125" style="0" customWidth="1"/>
    <col min="19" max="19" width="9.421875" style="0" customWidth="1"/>
    <col min="20" max="20" width="0.85546875" style="0" customWidth="1"/>
    <col min="21" max="21" width="11.7109375" style="0" customWidth="1"/>
    <col min="22" max="22" width="0.5625" style="0" customWidth="1"/>
    <col min="23" max="23" width="11.57421875" style="0" customWidth="1"/>
    <col min="24" max="24" width="0.71875" style="0" customWidth="1"/>
    <col min="25" max="25" width="3.57421875" style="0" customWidth="1"/>
    <col min="26" max="26" width="7.7109375" style="0" customWidth="1"/>
    <col min="27" max="27" width="3.00390625" style="0" customWidth="1"/>
    <col min="28" max="28" width="7.7109375" style="0" customWidth="1"/>
  </cols>
  <sheetData>
    <row r="1" spans="1:23" ht="23.25">
      <c r="A1" s="2" t="s">
        <v>0</v>
      </c>
      <c r="E1" s="21"/>
      <c r="I1" s="25"/>
      <c r="K1" s="25"/>
      <c r="M1" s="25"/>
      <c r="N1" s="16"/>
      <c r="P1" s="37"/>
      <c r="R1" s="37"/>
      <c r="S1" s="37"/>
      <c r="U1" s="37"/>
      <c r="W1" s="37"/>
    </row>
    <row r="2" spans="1:23" ht="14.25">
      <c r="A2" t="s">
        <v>171</v>
      </c>
      <c r="E2" s="21"/>
      <c r="I2" s="25"/>
      <c r="K2" s="25"/>
      <c r="M2" s="25"/>
      <c r="N2" s="16"/>
      <c r="P2" s="37"/>
      <c r="R2" s="37"/>
      <c r="S2" s="37"/>
      <c r="U2" s="37"/>
      <c r="W2" s="37"/>
    </row>
    <row r="3" spans="1:23" ht="14.25">
      <c r="A3" s="1" t="s">
        <v>101</v>
      </c>
      <c r="E3" s="21"/>
      <c r="I3" s="25"/>
      <c r="K3" s="25"/>
      <c r="M3" s="25"/>
      <c r="N3" s="16"/>
      <c r="P3" s="37"/>
      <c r="R3" s="37"/>
      <c r="S3" s="37"/>
      <c r="U3" s="37"/>
      <c r="W3" s="37"/>
    </row>
    <row r="4" spans="1:24" ht="13.5" customHeight="1">
      <c r="A4" s="3"/>
      <c r="B4" s="3"/>
      <c r="C4" s="3"/>
      <c r="D4" s="3"/>
      <c r="E4" s="22"/>
      <c r="F4" s="3"/>
      <c r="G4" s="3"/>
      <c r="H4" s="3"/>
      <c r="I4" s="26"/>
      <c r="J4" s="3"/>
      <c r="K4" s="164" t="s">
        <v>74</v>
      </c>
      <c r="L4" s="19"/>
      <c r="M4" s="164" t="s">
        <v>75</v>
      </c>
      <c r="N4" s="29"/>
      <c r="O4" s="28"/>
      <c r="P4" s="39"/>
      <c r="Q4" s="34"/>
      <c r="R4" s="39"/>
      <c r="S4" s="170" t="s">
        <v>103</v>
      </c>
      <c r="T4" s="3"/>
      <c r="U4" s="57"/>
      <c r="V4" s="3"/>
      <c r="W4" s="57"/>
      <c r="X4" s="3"/>
    </row>
    <row r="5" spans="1:24" ht="15" customHeight="1">
      <c r="A5" s="3"/>
      <c r="B5" s="4"/>
      <c r="C5" s="4"/>
      <c r="D5" s="4"/>
      <c r="E5" s="23"/>
      <c r="F5" s="4"/>
      <c r="G5" s="4"/>
      <c r="H5" s="4"/>
      <c r="I5" s="27"/>
      <c r="J5" s="15"/>
      <c r="K5" s="164"/>
      <c r="L5" s="19"/>
      <c r="M5" s="164"/>
      <c r="N5" s="29"/>
      <c r="O5" s="28"/>
      <c r="P5" s="39"/>
      <c r="Q5" s="34"/>
      <c r="R5" s="39"/>
      <c r="S5" s="170"/>
      <c r="T5" s="4"/>
      <c r="U5" s="170" t="s">
        <v>113</v>
      </c>
      <c r="V5" s="5"/>
      <c r="W5" s="170" t="s">
        <v>114</v>
      </c>
      <c r="X5" s="3"/>
    </row>
    <row r="6" spans="1:24" ht="14.25">
      <c r="A6" s="4"/>
      <c r="B6" s="4"/>
      <c r="C6" s="4"/>
      <c r="D6" s="4"/>
      <c r="E6" s="171" t="s">
        <v>20</v>
      </c>
      <c r="F6" s="17"/>
      <c r="G6" s="177" t="s">
        <v>21</v>
      </c>
      <c r="H6" s="17"/>
      <c r="I6" s="164" t="s">
        <v>22</v>
      </c>
      <c r="J6" s="19"/>
      <c r="K6" s="164"/>
      <c r="L6" s="19"/>
      <c r="M6" s="164"/>
      <c r="N6" s="29"/>
      <c r="O6" s="164" t="s">
        <v>102</v>
      </c>
      <c r="P6" s="39"/>
      <c r="Q6" s="180" t="s">
        <v>89</v>
      </c>
      <c r="R6" s="39"/>
      <c r="S6" s="170"/>
      <c r="T6" s="6"/>
      <c r="U6" s="170"/>
      <c r="V6" s="5"/>
      <c r="W6" s="170"/>
      <c r="X6" s="3"/>
    </row>
    <row r="7" spans="1:24" ht="14.25">
      <c r="A7" s="4"/>
      <c r="B7" s="4"/>
      <c r="C7" s="4"/>
      <c r="D7" s="4"/>
      <c r="E7" s="171"/>
      <c r="F7" s="17"/>
      <c r="G7" s="177"/>
      <c r="H7" s="17"/>
      <c r="I7" s="164"/>
      <c r="J7" s="19"/>
      <c r="K7" s="164"/>
      <c r="L7" s="19"/>
      <c r="M7" s="164"/>
      <c r="N7" s="29"/>
      <c r="O7" s="164"/>
      <c r="P7" s="39"/>
      <c r="Q7" s="180"/>
      <c r="R7" s="39"/>
      <c r="S7" s="170"/>
      <c r="T7" s="6"/>
      <c r="U7" s="170"/>
      <c r="V7" s="5"/>
      <c r="W7" s="170"/>
      <c r="X7" s="3"/>
    </row>
    <row r="8" spans="1:24" ht="14.25">
      <c r="A8" s="161" t="s">
        <v>12</v>
      </c>
      <c r="B8" s="4"/>
      <c r="C8" s="161" t="s">
        <v>3</v>
      </c>
      <c r="D8" s="4"/>
      <c r="E8" s="171"/>
      <c r="F8" s="17"/>
      <c r="G8" s="177"/>
      <c r="H8" s="17"/>
      <c r="I8" s="164"/>
      <c r="J8" s="19"/>
      <c r="K8" s="164"/>
      <c r="L8" s="19"/>
      <c r="M8" s="164"/>
      <c r="N8" s="29"/>
      <c r="O8" s="164"/>
      <c r="P8" s="39"/>
      <c r="Q8" s="180"/>
      <c r="R8" s="39"/>
      <c r="S8" s="170"/>
      <c r="T8" s="6"/>
      <c r="U8" s="170"/>
      <c r="V8" s="5"/>
      <c r="W8" s="170"/>
      <c r="X8" s="3"/>
    </row>
    <row r="9" spans="1:24" ht="22.5" customHeight="1" thickBot="1">
      <c r="A9" s="162"/>
      <c r="B9" s="7"/>
      <c r="C9" s="162"/>
      <c r="D9" s="7"/>
      <c r="E9" s="172"/>
      <c r="F9" s="18"/>
      <c r="G9" s="178"/>
      <c r="H9" s="18"/>
      <c r="I9" s="165"/>
      <c r="J9" s="20"/>
      <c r="K9" s="165"/>
      <c r="L9" s="20"/>
      <c r="M9" s="165"/>
      <c r="N9" s="30"/>
      <c r="O9" s="165"/>
      <c r="P9" s="40"/>
      <c r="Q9" s="181"/>
      <c r="R9" s="40"/>
      <c r="S9" s="167"/>
      <c r="T9" s="8"/>
      <c r="U9" s="167"/>
      <c r="V9" s="9"/>
      <c r="W9" s="167"/>
      <c r="X9" s="7"/>
    </row>
    <row r="10" spans="1:24" ht="14.25">
      <c r="A10" s="3"/>
      <c r="B10" s="3"/>
      <c r="C10" s="3"/>
      <c r="D10" s="3"/>
      <c r="E10" s="22"/>
      <c r="F10" s="3"/>
      <c r="G10" s="3"/>
      <c r="H10" s="3"/>
      <c r="I10" s="26"/>
      <c r="J10" s="3"/>
      <c r="K10" s="26"/>
      <c r="L10" s="3"/>
      <c r="M10" s="26"/>
      <c r="N10" s="31"/>
      <c r="O10" s="26"/>
      <c r="P10" s="57"/>
      <c r="Q10" s="33"/>
      <c r="R10" s="57"/>
      <c r="S10" s="57"/>
      <c r="T10" s="3"/>
      <c r="U10" s="57"/>
      <c r="V10" s="3"/>
      <c r="W10" s="57"/>
      <c r="X10" s="3"/>
    </row>
    <row r="11" spans="1:28" ht="14.25">
      <c r="A11" s="77">
        <v>1</v>
      </c>
      <c r="B11" s="77"/>
      <c r="C11" s="77">
        <v>2018</v>
      </c>
      <c r="D11" s="77"/>
      <c r="E11" s="91">
        <f>SUM(80*G11)</f>
        <v>7680</v>
      </c>
      <c r="F11" s="77"/>
      <c r="G11" s="55">
        <v>96</v>
      </c>
      <c r="H11" s="77"/>
      <c r="I11" s="78">
        <f>SUM(G11*1200)</f>
        <v>115200</v>
      </c>
      <c r="J11" s="77"/>
      <c r="K11" s="78">
        <f>SUM(E11*25)</f>
        <v>192000</v>
      </c>
      <c r="L11" s="77"/>
      <c r="M11" s="78">
        <f>SUM(G11*4166.67)</f>
        <v>400000.32</v>
      </c>
      <c r="N11" s="92"/>
      <c r="O11" s="78">
        <f>SUM(22.2*M11/2205)</f>
        <v>4027.2141061224493</v>
      </c>
      <c r="P11" s="70"/>
      <c r="Q11" s="97">
        <v>24.3</v>
      </c>
      <c r="R11" s="70"/>
      <c r="S11" s="70">
        <f>SUM(22.2*M11/2205*Q11)</f>
        <v>97861.30277877553</v>
      </c>
      <c r="T11" s="77"/>
      <c r="U11" s="97">
        <f>SUM(S11/(1.07)^A11)</f>
        <v>91459.16147549114</v>
      </c>
      <c r="V11" s="77"/>
      <c r="W11" s="97">
        <f>SUM(S11/(1.03)^A11)</f>
        <v>95010.97357162672</v>
      </c>
      <c r="X11" s="77"/>
      <c r="Y11" s="55"/>
      <c r="Z11" s="55"/>
      <c r="AA11" s="55"/>
      <c r="AB11" s="55"/>
    </row>
    <row r="12" spans="1:28" ht="14.25">
      <c r="A12" s="77">
        <v>2</v>
      </c>
      <c r="B12" s="77"/>
      <c r="C12" s="77">
        <v>2019</v>
      </c>
      <c r="D12" s="77"/>
      <c r="E12" s="91">
        <f aca="true" t="shared" si="0" ref="E12:E30">SUM(80*G12)</f>
        <v>7680</v>
      </c>
      <c r="F12" s="77"/>
      <c r="G12" s="55">
        <v>96</v>
      </c>
      <c r="H12" s="77"/>
      <c r="I12" s="78">
        <f aca="true" t="shared" si="1" ref="I12:I30">SUM(G12*1200)</f>
        <v>115200</v>
      </c>
      <c r="J12" s="77"/>
      <c r="K12" s="78">
        <f aca="true" t="shared" si="2" ref="K12:K30">SUM(E12*25)</f>
        <v>192000</v>
      </c>
      <c r="L12" s="77"/>
      <c r="M12" s="78">
        <f aca="true" t="shared" si="3" ref="M12:M30">SUM(G12*4166.67)</f>
        <v>400000.32</v>
      </c>
      <c r="N12" s="92"/>
      <c r="O12" s="78">
        <f aca="true" t="shared" si="4" ref="O12:O30">SUM(22.2*M12/2205)</f>
        <v>4027.2141061224493</v>
      </c>
      <c r="P12" s="70"/>
      <c r="Q12" s="97">
        <v>24.8</v>
      </c>
      <c r="R12" s="70"/>
      <c r="S12" s="70">
        <f aca="true" t="shared" si="5" ref="S12:S30">SUM(22.2*M12/2205*Q12)</f>
        <v>99874.90983183675</v>
      </c>
      <c r="T12" s="77"/>
      <c r="U12" s="97">
        <f aca="true" t="shared" si="6" ref="U12:U30">SUM(S12/(1.07)^A12)</f>
        <v>87234.61422992116</v>
      </c>
      <c r="V12" s="77"/>
      <c r="W12" s="97">
        <f aca="true" t="shared" si="7" ref="W12:W30">SUM(S12/(1.03)^A12)</f>
        <v>94141.68143259191</v>
      </c>
      <c r="X12" s="77"/>
      <c r="Y12" s="55"/>
      <c r="Z12" s="55"/>
      <c r="AA12" s="55"/>
      <c r="AB12" s="55"/>
    </row>
    <row r="13" spans="1:28" ht="14.25">
      <c r="A13" s="77">
        <v>3</v>
      </c>
      <c r="B13" s="77"/>
      <c r="C13" s="77">
        <v>2020</v>
      </c>
      <c r="D13" s="77"/>
      <c r="E13" s="91">
        <f t="shared" si="0"/>
        <v>7680</v>
      </c>
      <c r="F13" s="77"/>
      <c r="G13" s="55">
        <v>96</v>
      </c>
      <c r="H13" s="77"/>
      <c r="I13" s="78">
        <f t="shared" si="1"/>
        <v>115200</v>
      </c>
      <c r="J13" s="77"/>
      <c r="K13" s="78">
        <f t="shared" si="2"/>
        <v>192000</v>
      </c>
      <c r="L13" s="77"/>
      <c r="M13" s="78">
        <f t="shared" si="3"/>
        <v>400000.32</v>
      </c>
      <c r="N13" s="92"/>
      <c r="O13" s="78">
        <f t="shared" si="4"/>
        <v>4027.2141061224493</v>
      </c>
      <c r="P13" s="70"/>
      <c r="Q13" s="97">
        <v>25.3</v>
      </c>
      <c r="R13" s="70"/>
      <c r="S13" s="70">
        <f t="shared" si="5"/>
        <v>101888.51688489797</v>
      </c>
      <c r="T13" s="77"/>
      <c r="U13" s="97">
        <f t="shared" si="6"/>
        <v>83171.38001269993</v>
      </c>
      <c r="V13" s="77"/>
      <c r="W13" s="97">
        <f t="shared" si="7"/>
        <v>93242.42641107795</v>
      </c>
      <c r="X13" s="77"/>
      <c r="Y13" s="55"/>
      <c r="Z13" s="55"/>
      <c r="AA13" s="55"/>
      <c r="AB13" s="55"/>
    </row>
    <row r="14" spans="1:28" ht="14.25">
      <c r="A14" s="77">
        <v>4</v>
      </c>
      <c r="B14" s="77"/>
      <c r="C14" s="77">
        <v>2021</v>
      </c>
      <c r="D14" s="77"/>
      <c r="E14" s="91">
        <f t="shared" si="0"/>
        <v>7680</v>
      </c>
      <c r="F14" s="77"/>
      <c r="G14" s="55">
        <v>96</v>
      </c>
      <c r="H14" s="77"/>
      <c r="I14" s="78">
        <f t="shared" si="1"/>
        <v>115200</v>
      </c>
      <c r="J14" s="77"/>
      <c r="K14" s="78">
        <f t="shared" si="2"/>
        <v>192000</v>
      </c>
      <c r="L14" s="77"/>
      <c r="M14" s="78">
        <f t="shared" si="3"/>
        <v>400000.32</v>
      </c>
      <c r="N14" s="92"/>
      <c r="O14" s="78">
        <f t="shared" si="4"/>
        <v>4027.2141061224493</v>
      </c>
      <c r="P14" s="70"/>
      <c r="Q14" s="97">
        <v>25.8</v>
      </c>
      <c r="R14" s="70"/>
      <c r="S14" s="70">
        <f t="shared" si="5"/>
        <v>103902.1239379592</v>
      </c>
      <c r="T14" s="77"/>
      <c r="U14" s="97">
        <f t="shared" si="6"/>
        <v>79266.43287383764</v>
      </c>
      <c r="V14" s="77"/>
      <c r="W14" s="97">
        <f t="shared" si="7"/>
        <v>92315.6913698074</v>
      </c>
      <c r="X14" s="77"/>
      <c r="Y14" s="55"/>
      <c r="Z14" s="55"/>
      <c r="AA14" s="55"/>
      <c r="AB14" s="55"/>
    </row>
    <row r="15" spans="1:28" ht="14.25">
      <c r="A15" s="77">
        <v>5</v>
      </c>
      <c r="B15" s="77"/>
      <c r="C15" s="77">
        <v>2022</v>
      </c>
      <c r="D15" s="77"/>
      <c r="E15" s="91">
        <f t="shared" si="0"/>
        <v>15360</v>
      </c>
      <c r="F15" s="77"/>
      <c r="G15" s="55">
        <v>192</v>
      </c>
      <c r="H15" s="77"/>
      <c r="I15" s="78">
        <f t="shared" si="1"/>
        <v>230400</v>
      </c>
      <c r="J15" s="77"/>
      <c r="K15" s="78">
        <f t="shared" si="2"/>
        <v>384000</v>
      </c>
      <c r="L15" s="77"/>
      <c r="M15" s="78">
        <f t="shared" si="3"/>
        <v>800000.64</v>
      </c>
      <c r="N15" s="92"/>
      <c r="O15" s="78">
        <f t="shared" si="4"/>
        <v>8054.4282122448985</v>
      </c>
      <c r="P15" s="70"/>
      <c r="Q15" s="97">
        <v>26.3</v>
      </c>
      <c r="R15" s="70"/>
      <c r="S15" s="70">
        <f t="shared" si="5"/>
        <v>211831.46198204084</v>
      </c>
      <c r="T15" s="77"/>
      <c r="U15" s="97">
        <f t="shared" si="6"/>
        <v>151032.90477301524</v>
      </c>
      <c r="V15" s="77"/>
      <c r="W15" s="97">
        <f t="shared" si="7"/>
        <v>182727.67991464853</v>
      </c>
      <c r="X15" s="77"/>
      <c r="Y15" s="55"/>
      <c r="Z15" s="55"/>
      <c r="AA15" s="55"/>
      <c r="AB15" s="55"/>
    </row>
    <row r="16" spans="1:28" ht="14.25">
      <c r="A16" s="77">
        <v>6</v>
      </c>
      <c r="B16" s="77"/>
      <c r="C16" s="77">
        <v>2023</v>
      </c>
      <c r="D16" s="77"/>
      <c r="E16" s="91">
        <f t="shared" si="0"/>
        <v>15360</v>
      </c>
      <c r="F16" s="77"/>
      <c r="G16" s="55">
        <v>192</v>
      </c>
      <c r="H16" s="77"/>
      <c r="I16" s="78">
        <f t="shared" si="1"/>
        <v>230400</v>
      </c>
      <c r="J16" s="77"/>
      <c r="K16" s="78">
        <f t="shared" si="2"/>
        <v>384000</v>
      </c>
      <c r="L16" s="77"/>
      <c r="M16" s="78">
        <f t="shared" si="3"/>
        <v>800000.64</v>
      </c>
      <c r="N16" s="92"/>
      <c r="O16" s="78">
        <f t="shared" si="4"/>
        <v>8054.4282122448985</v>
      </c>
      <c r="P16" s="70"/>
      <c r="Q16" s="97">
        <v>26.8</v>
      </c>
      <c r="R16" s="70"/>
      <c r="S16" s="70">
        <f t="shared" si="5"/>
        <v>215858.67608816328</v>
      </c>
      <c r="T16" s="77"/>
      <c r="U16" s="97">
        <f t="shared" si="6"/>
        <v>143835.750254675</v>
      </c>
      <c r="V16" s="77"/>
      <c r="W16" s="97">
        <f t="shared" si="7"/>
        <v>180778.24289241314</v>
      </c>
      <c r="X16" s="77"/>
      <c r="Y16" s="55"/>
      <c r="Z16" s="55"/>
      <c r="AA16" s="55"/>
      <c r="AB16" s="55"/>
    </row>
    <row r="17" spans="1:28" ht="14.25">
      <c r="A17" s="77">
        <v>7</v>
      </c>
      <c r="B17" s="77"/>
      <c r="C17" s="77">
        <v>2024</v>
      </c>
      <c r="D17" s="77"/>
      <c r="E17" s="91">
        <f t="shared" si="0"/>
        <v>15360</v>
      </c>
      <c r="F17" s="77"/>
      <c r="G17" s="55">
        <v>192</v>
      </c>
      <c r="H17" s="77"/>
      <c r="I17" s="78">
        <f t="shared" si="1"/>
        <v>230400</v>
      </c>
      <c r="J17" s="77"/>
      <c r="K17" s="78">
        <f t="shared" si="2"/>
        <v>384000</v>
      </c>
      <c r="L17" s="77"/>
      <c r="M17" s="78">
        <f t="shared" si="3"/>
        <v>800000.64</v>
      </c>
      <c r="N17" s="92"/>
      <c r="O17" s="78">
        <f t="shared" si="4"/>
        <v>8054.4282122448985</v>
      </c>
      <c r="P17" s="70"/>
      <c r="Q17" s="97">
        <v>27.3</v>
      </c>
      <c r="R17" s="70"/>
      <c r="S17" s="70">
        <f t="shared" si="5"/>
        <v>219885.89019428575</v>
      </c>
      <c r="T17" s="77"/>
      <c r="U17" s="97">
        <f t="shared" si="6"/>
        <v>136933.881362555</v>
      </c>
      <c r="V17" s="77"/>
      <c r="W17" s="97">
        <f t="shared" si="7"/>
        <v>178787.35078115054</v>
      </c>
      <c r="X17" s="77"/>
      <c r="Y17" s="55"/>
      <c r="Z17" s="55"/>
      <c r="AA17" s="55"/>
      <c r="AB17" s="55"/>
    </row>
    <row r="18" spans="1:28" ht="14.25">
      <c r="A18" s="77">
        <v>8</v>
      </c>
      <c r="B18" s="77"/>
      <c r="C18" s="77">
        <v>2025</v>
      </c>
      <c r="D18" s="77"/>
      <c r="E18" s="91">
        <f t="shared" si="0"/>
        <v>16000</v>
      </c>
      <c r="F18" s="77"/>
      <c r="G18" s="55">
        <v>200</v>
      </c>
      <c r="H18" s="77"/>
      <c r="I18" s="78">
        <f t="shared" si="1"/>
        <v>240000</v>
      </c>
      <c r="J18" s="77"/>
      <c r="K18" s="78">
        <f t="shared" si="2"/>
        <v>400000</v>
      </c>
      <c r="L18" s="77"/>
      <c r="M18" s="78">
        <f t="shared" si="3"/>
        <v>833334</v>
      </c>
      <c r="N18" s="92"/>
      <c r="O18" s="78">
        <f t="shared" si="4"/>
        <v>8390.029387755103</v>
      </c>
      <c r="P18" s="70"/>
      <c r="Q18" s="97">
        <v>27.8</v>
      </c>
      <c r="R18" s="70"/>
      <c r="S18" s="70">
        <f t="shared" si="5"/>
        <v>233242.81697959188</v>
      </c>
      <c r="T18" s="77"/>
      <c r="U18" s="97">
        <f t="shared" si="6"/>
        <v>135749.4430565194</v>
      </c>
      <c r="V18" s="77"/>
      <c r="W18" s="97">
        <f t="shared" si="7"/>
        <v>184124.0335610851</v>
      </c>
      <c r="X18" s="77"/>
      <c r="Y18" s="55"/>
      <c r="Z18" s="55"/>
      <c r="AA18" s="55"/>
      <c r="AB18" s="55"/>
    </row>
    <row r="19" spans="1:28" ht="14.25">
      <c r="A19" s="77">
        <v>9</v>
      </c>
      <c r="B19" s="77"/>
      <c r="C19" s="77">
        <v>2026</v>
      </c>
      <c r="D19" s="77"/>
      <c r="E19" s="91">
        <f t="shared" si="0"/>
        <v>16000</v>
      </c>
      <c r="F19" s="77"/>
      <c r="G19" s="55">
        <v>200</v>
      </c>
      <c r="H19" s="77"/>
      <c r="I19" s="78">
        <f t="shared" si="1"/>
        <v>240000</v>
      </c>
      <c r="J19" s="77"/>
      <c r="K19" s="78">
        <f t="shared" si="2"/>
        <v>400000</v>
      </c>
      <c r="L19" s="77"/>
      <c r="M19" s="78">
        <f t="shared" si="3"/>
        <v>833334</v>
      </c>
      <c r="N19" s="92"/>
      <c r="O19" s="78">
        <f t="shared" si="4"/>
        <v>8390.029387755103</v>
      </c>
      <c r="P19" s="70"/>
      <c r="Q19" s="97">
        <v>28.3</v>
      </c>
      <c r="R19" s="70"/>
      <c r="S19" s="70">
        <f t="shared" si="5"/>
        <v>237437.83167346942</v>
      </c>
      <c r="T19" s="77"/>
      <c r="U19" s="97">
        <f t="shared" si="6"/>
        <v>129150.44841321518</v>
      </c>
      <c r="V19" s="77"/>
      <c r="W19" s="97">
        <f t="shared" si="7"/>
        <v>181976.32708593656</v>
      </c>
      <c r="X19" s="77"/>
      <c r="Y19" s="55"/>
      <c r="Z19" s="55"/>
      <c r="AA19" s="55"/>
      <c r="AB19" s="55"/>
    </row>
    <row r="20" spans="1:28" ht="14.25">
      <c r="A20" s="77">
        <v>10</v>
      </c>
      <c r="B20" s="77"/>
      <c r="C20" s="77">
        <v>2027</v>
      </c>
      <c r="D20" s="77"/>
      <c r="E20" s="91">
        <f t="shared" si="0"/>
        <v>16640</v>
      </c>
      <c r="F20" s="77"/>
      <c r="G20" s="55">
        <v>208</v>
      </c>
      <c r="H20" s="77"/>
      <c r="I20" s="78">
        <f t="shared" si="1"/>
        <v>249600</v>
      </c>
      <c r="J20" s="77"/>
      <c r="K20" s="78">
        <f t="shared" si="2"/>
        <v>416000</v>
      </c>
      <c r="L20" s="77"/>
      <c r="M20" s="78">
        <f t="shared" si="3"/>
        <v>866667.36</v>
      </c>
      <c r="N20" s="92"/>
      <c r="O20" s="78">
        <f t="shared" si="4"/>
        <v>8725.630563265306</v>
      </c>
      <c r="P20" s="70"/>
      <c r="Q20" s="97">
        <v>28.8</v>
      </c>
      <c r="R20" s="70"/>
      <c r="S20" s="70">
        <f t="shared" si="5"/>
        <v>251298.1602220408</v>
      </c>
      <c r="T20" s="77"/>
      <c r="U20" s="97">
        <f t="shared" si="6"/>
        <v>127747.24186363134</v>
      </c>
      <c r="V20" s="77"/>
      <c r="W20" s="97">
        <f t="shared" si="7"/>
        <v>186989.43184596286</v>
      </c>
      <c r="X20" s="77"/>
      <c r="Y20" s="55"/>
      <c r="Z20" s="55"/>
      <c r="AA20" s="55"/>
      <c r="AB20" s="55"/>
    </row>
    <row r="21" spans="1:28" ht="14.25">
      <c r="A21" s="77">
        <v>11</v>
      </c>
      <c r="B21" s="77"/>
      <c r="C21" s="77">
        <v>2028</v>
      </c>
      <c r="D21" s="77"/>
      <c r="E21" s="91">
        <f t="shared" si="0"/>
        <v>17280</v>
      </c>
      <c r="F21" s="77"/>
      <c r="G21" s="55">
        <v>216</v>
      </c>
      <c r="H21" s="77"/>
      <c r="I21" s="78">
        <f t="shared" si="1"/>
        <v>259200</v>
      </c>
      <c r="J21" s="77"/>
      <c r="K21" s="78">
        <f t="shared" si="2"/>
        <v>432000</v>
      </c>
      <c r="L21" s="77"/>
      <c r="M21" s="78">
        <f t="shared" si="3"/>
        <v>900000.72</v>
      </c>
      <c r="N21" s="92"/>
      <c r="O21" s="78">
        <f t="shared" si="4"/>
        <v>9061.231738775508</v>
      </c>
      <c r="P21" s="70"/>
      <c r="Q21" s="97">
        <v>29.3</v>
      </c>
      <c r="R21" s="70"/>
      <c r="S21" s="70">
        <f t="shared" si="5"/>
        <v>265494.0899461224</v>
      </c>
      <c r="T21" s="77"/>
      <c r="U21" s="97">
        <f t="shared" si="6"/>
        <v>126134.32961688074</v>
      </c>
      <c r="V21" s="77"/>
      <c r="W21" s="97">
        <f t="shared" si="7"/>
        <v>191798.57938830435</v>
      </c>
      <c r="X21" s="77"/>
      <c r="Y21" s="55"/>
      <c r="Z21" s="55"/>
      <c r="AA21" s="55"/>
      <c r="AB21" s="55"/>
    </row>
    <row r="22" spans="1:28" ht="14.25">
      <c r="A22" s="77">
        <v>12</v>
      </c>
      <c r="B22" s="77"/>
      <c r="C22" s="77">
        <v>2029</v>
      </c>
      <c r="D22" s="77"/>
      <c r="E22" s="91">
        <f t="shared" si="0"/>
        <v>17280</v>
      </c>
      <c r="F22" s="77"/>
      <c r="G22" s="55">
        <v>216</v>
      </c>
      <c r="H22" s="77"/>
      <c r="I22" s="78">
        <f t="shared" si="1"/>
        <v>259200</v>
      </c>
      <c r="J22" s="77"/>
      <c r="K22" s="78">
        <f t="shared" si="2"/>
        <v>432000</v>
      </c>
      <c r="L22" s="77"/>
      <c r="M22" s="78">
        <f t="shared" si="3"/>
        <v>900000.72</v>
      </c>
      <c r="N22" s="92"/>
      <c r="O22" s="78">
        <f t="shared" si="4"/>
        <v>9061.231738775508</v>
      </c>
      <c r="P22" s="70"/>
      <c r="Q22" s="97">
        <v>29.8</v>
      </c>
      <c r="R22" s="70"/>
      <c r="S22" s="70">
        <f t="shared" si="5"/>
        <v>270024.7058155102</v>
      </c>
      <c r="T22" s="77"/>
      <c r="U22" s="97">
        <f t="shared" si="6"/>
        <v>119894.19867254785</v>
      </c>
      <c r="V22" s="77"/>
      <c r="W22" s="97">
        <f t="shared" si="7"/>
        <v>189389.89581402537</v>
      </c>
      <c r="X22" s="77"/>
      <c r="Y22" s="55"/>
      <c r="Z22" s="55"/>
      <c r="AA22" s="55"/>
      <c r="AB22" s="55"/>
    </row>
    <row r="23" spans="1:28" ht="14.25">
      <c r="A23" s="77">
        <v>13</v>
      </c>
      <c r="B23" s="77"/>
      <c r="C23" s="77">
        <v>2030</v>
      </c>
      <c r="D23" s="77"/>
      <c r="E23" s="91">
        <f t="shared" si="0"/>
        <v>17280</v>
      </c>
      <c r="F23" s="77"/>
      <c r="G23" s="55">
        <v>216</v>
      </c>
      <c r="H23" s="77"/>
      <c r="I23" s="78">
        <f t="shared" si="1"/>
        <v>259200</v>
      </c>
      <c r="J23" s="77"/>
      <c r="K23" s="78">
        <f t="shared" si="2"/>
        <v>432000</v>
      </c>
      <c r="L23" s="77"/>
      <c r="M23" s="78">
        <f t="shared" si="3"/>
        <v>900000.72</v>
      </c>
      <c r="N23" s="92"/>
      <c r="O23" s="78">
        <f t="shared" si="4"/>
        <v>9061.231738775508</v>
      </c>
      <c r="P23" s="70"/>
      <c r="Q23" s="97">
        <v>30.3</v>
      </c>
      <c r="R23" s="70"/>
      <c r="S23" s="70">
        <f t="shared" si="5"/>
        <v>274555.32168489794</v>
      </c>
      <c r="T23" s="77"/>
      <c r="U23" s="97">
        <f t="shared" si="6"/>
        <v>113930.69747783351</v>
      </c>
      <c r="V23" s="77"/>
      <c r="W23" s="97">
        <f t="shared" si="7"/>
        <v>186958.81420358925</v>
      </c>
      <c r="X23" s="77"/>
      <c r="Y23" s="55"/>
      <c r="Z23" s="55"/>
      <c r="AA23" s="55"/>
      <c r="AB23" s="55"/>
    </row>
    <row r="24" spans="1:28" ht="14.25">
      <c r="A24" s="77">
        <v>14</v>
      </c>
      <c r="B24" s="77"/>
      <c r="C24" s="77">
        <v>2031</v>
      </c>
      <c r="D24" s="77"/>
      <c r="E24" s="91">
        <f t="shared" si="0"/>
        <v>17280</v>
      </c>
      <c r="F24" s="77"/>
      <c r="G24" s="55">
        <v>216</v>
      </c>
      <c r="H24" s="77"/>
      <c r="I24" s="78">
        <f t="shared" si="1"/>
        <v>259200</v>
      </c>
      <c r="J24" s="77"/>
      <c r="K24" s="78">
        <f t="shared" si="2"/>
        <v>432000</v>
      </c>
      <c r="L24" s="77"/>
      <c r="M24" s="78">
        <f t="shared" si="3"/>
        <v>900000.72</v>
      </c>
      <c r="N24" s="92"/>
      <c r="O24" s="78">
        <f t="shared" si="4"/>
        <v>9061.231738775508</v>
      </c>
      <c r="P24" s="70"/>
      <c r="Q24" s="97">
        <v>30.8</v>
      </c>
      <c r="R24" s="70"/>
      <c r="S24" s="70">
        <f t="shared" si="5"/>
        <v>279085.9375542857</v>
      </c>
      <c r="T24" s="77"/>
      <c r="U24" s="97">
        <f t="shared" si="6"/>
        <v>108234.3383090365</v>
      </c>
      <c r="V24" s="77"/>
      <c r="W24" s="97">
        <f t="shared" si="7"/>
        <v>184508.68267072155</v>
      </c>
      <c r="X24" s="77"/>
      <c r="Y24" s="55"/>
      <c r="Z24" s="55"/>
      <c r="AA24" s="55"/>
      <c r="AB24" s="55"/>
    </row>
    <row r="25" spans="1:28" ht="14.25">
      <c r="A25" s="77">
        <v>15</v>
      </c>
      <c r="B25" s="77"/>
      <c r="C25" s="77">
        <v>2032</v>
      </c>
      <c r="D25" s="77"/>
      <c r="E25" s="91">
        <f t="shared" si="0"/>
        <v>17920</v>
      </c>
      <c r="F25" s="77"/>
      <c r="G25" s="55">
        <v>224</v>
      </c>
      <c r="H25" s="77"/>
      <c r="I25" s="78">
        <f t="shared" si="1"/>
        <v>268800</v>
      </c>
      <c r="J25" s="77"/>
      <c r="K25" s="78">
        <f t="shared" si="2"/>
        <v>448000</v>
      </c>
      <c r="L25" s="77"/>
      <c r="M25" s="78">
        <f t="shared" si="3"/>
        <v>933334.0800000001</v>
      </c>
      <c r="N25" s="92"/>
      <c r="O25" s="78">
        <f t="shared" si="4"/>
        <v>9396.832914285715</v>
      </c>
      <c r="P25" s="70"/>
      <c r="Q25" s="97">
        <v>31.3</v>
      </c>
      <c r="R25" s="70"/>
      <c r="S25" s="70">
        <f t="shared" si="5"/>
        <v>294120.87021714286</v>
      </c>
      <c r="T25" s="77"/>
      <c r="U25" s="97">
        <f t="shared" si="6"/>
        <v>106602.93870395048</v>
      </c>
      <c r="V25" s="77"/>
      <c r="W25" s="97">
        <f t="shared" si="7"/>
        <v>188784.9945275926</v>
      </c>
      <c r="X25" s="77"/>
      <c r="Y25" s="55"/>
      <c r="Z25" s="55"/>
      <c r="AA25" s="55"/>
      <c r="AB25" s="55"/>
    </row>
    <row r="26" spans="1:28" ht="14.25">
      <c r="A26" s="77">
        <v>16</v>
      </c>
      <c r="B26" s="77"/>
      <c r="C26" s="77">
        <v>2033</v>
      </c>
      <c r="D26" s="77"/>
      <c r="E26" s="91">
        <f t="shared" si="0"/>
        <v>17920</v>
      </c>
      <c r="F26" s="77"/>
      <c r="G26" s="55">
        <v>224</v>
      </c>
      <c r="H26" s="77"/>
      <c r="I26" s="78">
        <f t="shared" si="1"/>
        <v>268800</v>
      </c>
      <c r="J26" s="77"/>
      <c r="K26" s="78">
        <f t="shared" si="2"/>
        <v>448000</v>
      </c>
      <c r="L26" s="77"/>
      <c r="M26" s="78">
        <f t="shared" si="3"/>
        <v>933334.0800000001</v>
      </c>
      <c r="N26" s="92"/>
      <c r="O26" s="78">
        <f t="shared" si="4"/>
        <v>9396.832914285715</v>
      </c>
      <c r="P26" s="70"/>
      <c r="Q26" s="97">
        <v>31.8</v>
      </c>
      <c r="R26" s="70"/>
      <c r="S26" s="70">
        <f t="shared" si="5"/>
        <v>298819.2866742857</v>
      </c>
      <c r="T26" s="77"/>
      <c r="U26" s="97">
        <f t="shared" si="6"/>
        <v>101220.43088548045</v>
      </c>
      <c r="V26" s="77"/>
      <c r="W26" s="97">
        <f t="shared" si="7"/>
        <v>186214.30025675253</v>
      </c>
      <c r="X26" s="77"/>
      <c r="Y26" s="55"/>
      <c r="Z26" s="55"/>
      <c r="AA26" s="55"/>
      <c r="AB26" s="55"/>
    </row>
    <row r="27" spans="1:28" ht="14.25">
      <c r="A27" s="77">
        <v>17</v>
      </c>
      <c r="B27" s="77"/>
      <c r="C27" s="77">
        <v>2034</v>
      </c>
      <c r="D27" s="77"/>
      <c r="E27" s="91">
        <f t="shared" si="0"/>
        <v>17920</v>
      </c>
      <c r="F27" s="77"/>
      <c r="G27" s="55">
        <v>224</v>
      </c>
      <c r="H27" s="77"/>
      <c r="I27" s="78">
        <f t="shared" si="1"/>
        <v>268800</v>
      </c>
      <c r="J27" s="77"/>
      <c r="K27" s="78">
        <f t="shared" si="2"/>
        <v>448000</v>
      </c>
      <c r="L27" s="77"/>
      <c r="M27" s="78">
        <f t="shared" si="3"/>
        <v>933334.0800000001</v>
      </c>
      <c r="N27" s="92"/>
      <c r="O27" s="78">
        <f t="shared" si="4"/>
        <v>9396.832914285715</v>
      </c>
      <c r="P27" s="70"/>
      <c r="Q27" s="97">
        <v>32.3</v>
      </c>
      <c r="R27" s="70"/>
      <c r="S27" s="70">
        <f t="shared" si="5"/>
        <v>303517.70313142857</v>
      </c>
      <c r="T27" s="77"/>
      <c r="U27" s="97">
        <f t="shared" si="6"/>
        <v>96085.93186389873</v>
      </c>
      <c r="V27" s="77"/>
      <c r="W27" s="97">
        <f t="shared" si="7"/>
        <v>183633.2019995453</v>
      </c>
      <c r="X27" s="77"/>
      <c r="Y27" s="55"/>
      <c r="Z27" s="55"/>
      <c r="AA27" s="55"/>
      <c r="AB27" s="55"/>
    </row>
    <row r="28" spans="1:28" ht="14.25">
      <c r="A28" s="77">
        <v>18</v>
      </c>
      <c r="B28" s="77"/>
      <c r="C28" s="77">
        <v>2035</v>
      </c>
      <c r="D28" s="77"/>
      <c r="E28" s="91">
        <f t="shared" si="0"/>
        <v>18480</v>
      </c>
      <c r="F28" s="77"/>
      <c r="G28" s="55">
        <v>231</v>
      </c>
      <c r="H28" s="77"/>
      <c r="I28" s="78">
        <f t="shared" si="1"/>
        <v>277200</v>
      </c>
      <c r="J28" s="77"/>
      <c r="K28" s="78">
        <f t="shared" si="2"/>
        <v>462000</v>
      </c>
      <c r="L28" s="77"/>
      <c r="M28" s="78">
        <f t="shared" si="3"/>
        <v>962500.77</v>
      </c>
      <c r="N28" s="92"/>
      <c r="O28" s="78">
        <f t="shared" si="4"/>
        <v>9690.483942857143</v>
      </c>
      <c r="P28" s="70"/>
      <c r="Q28" s="97">
        <v>32.8</v>
      </c>
      <c r="R28" s="70"/>
      <c r="S28" s="70">
        <f t="shared" si="5"/>
        <v>317847.87332571426</v>
      </c>
      <c r="T28" s="77"/>
      <c r="U28" s="97">
        <f t="shared" si="6"/>
        <v>94039.7165966371</v>
      </c>
      <c r="V28" s="77"/>
      <c r="W28" s="97">
        <f t="shared" si="7"/>
        <v>186702.12683382788</v>
      </c>
      <c r="X28" s="77"/>
      <c r="Y28" s="55"/>
      <c r="Z28" s="55"/>
      <c r="AA28" s="55"/>
      <c r="AB28" s="55"/>
    </row>
    <row r="29" spans="1:28" ht="14.25">
      <c r="A29" s="77">
        <v>19</v>
      </c>
      <c r="B29" s="77"/>
      <c r="C29" s="77">
        <v>2036</v>
      </c>
      <c r="D29" s="77"/>
      <c r="E29" s="91">
        <f t="shared" si="0"/>
        <v>18480</v>
      </c>
      <c r="F29" s="77"/>
      <c r="G29" s="55">
        <v>231</v>
      </c>
      <c r="H29" s="77"/>
      <c r="I29" s="78">
        <f t="shared" si="1"/>
        <v>277200</v>
      </c>
      <c r="J29" s="77"/>
      <c r="K29" s="78">
        <f t="shared" si="2"/>
        <v>462000</v>
      </c>
      <c r="L29" s="77"/>
      <c r="M29" s="78">
        <f t="shared" si="3"/>
        <v>962500.77</v>
      </c>
      <c r="N29" s="92"/>
      <c r="O29" s="78">
        <f t="shared" si="4"/>
        <v>9690.483942857143</v>
      </c>
      <c r="P29" s="70"/>
      <c r="Q29" s="97">
        <v>33.3</v>
      </c>
      <c r="R29" s="70"/>
      <c r="S29" s="70">
        <f t="shared" si="5"/>
        <v>322693.1152971428</v>
      </c>
      <c r="T29" s="77"/>
      <c r="U29" s="97">
        <f t="shared" si="6"/>
        <v>89227.33538488758</v>
      </c>
      <c r="V29" s="77"/>
      <c r="W29" s="97">
        <f t="shared" si="7"/>
        <v>184027.37460237</v>
      </c>
      <c r="X29" s="77"/>
      <c r="Y29" s="55"/>
      <c r="Z29" s="55"/>
      <c r="AA29" s="55"/>
      <c r="AB29" s="55"/>
    </row>
    <row r="30" spans="1:28" ht="14.25">
      <c r="A30" s="77">
        <v>20</v>
      </c>
      <c r="B30" s="77"/>
      <c r="C30" s="77">
        <v>2037</v>
      </c>
      <c r="D30" s="77"/>
      <c r="E30" s="93">
        <f t="shared" si="0"/>
        <v>18480</v>
      </c>
      <c r="F30" s="44"/>
      <c r="G30" s="61">
        <v>231</v>
      </c>
      <c r="H30" s="44"/>
      <c r="I30" s="88">
        <f t="shared" si="1"/>
        <v>277200</v>
      </c>
      <c r="J30" s="44"/>
      <c r="K30" s="88">
        <f t="shared" si="2"/>
        <v>462000</v>
      </c>
      <c r="L30" s="44"/>
      <c r="M30" s="88">
        <f t="shared" si="3"/>
        <v>962500.77</v>
      </c>
      <c r="N30" s="94"/>
      <c r="O30" s="88">
        <f t="shared" si="4"/>
        <v>9690.483942857143</v>
      </c>
      <c r="P30" s="71"/>
      <c r="Q30" s="98">
        <v>33.8</v>
      </c>
      <c r="R30" s="71"/>
      <c r="S30" s="71">
        <f t="shared" si="5"/>
        <v>327538.3572685714</v>
      </c>
      <c r="T30" s="44"/>
      <c r="U30" s="98">
        <f t="shared" si="6"/>
        <v>84642.13566863688</v>
      </c>
      <c r="V30" s="44"/>
      <c r="W30" s="98">
        <f t="shared" si="7"/>
        <v>181350.04698562948</v>
      </c>
      <c r="X30" s="44"/>
      <c r="Y30" s="55"/>
      <c r="Z30" s="55"/>
      <c r="AA30" s="55"/>
      <c r="AB30" s="55"/>
    </row>
    <row r="31" spans="1:24" ht="14.25">
      <c r="A31" s="3"/>
      <c r="B31" s="3"/>
      <c r="C31" s="3"/>
      <c r="D31" s="3"/>
      <c r="E31" s="22"/>
      <c r="F31" s="3"/>
      <c r="G31" s="3"/>
      <c r="H31" s="3"/>
      <c r="I31" s="26"/>
      <c r="J31" s="3"/>
      <c r="K31" s="26"/>
      <c r="L31" s="3"/>
      <c r="M31" s="26"/>
      <c r="N31" s="31"/>
      <c r="O31" s="26"/>
      <c r="P31" s="57"/>
      <c r="Q31" s="33"/>
      <c r="R31" s="57"/>
      <c r="S31" s="57"/>
      <c r="T31" s="3"/>
      <c r="U31" s="57"/>
      <c r="V31" s="3"/>
      <c r="W31" s="57"/>
      <c r="X31" s="3"/>
    </row>
    <row r="32" spans="1:24" ht="15" thickBot="1">
      <c r="A32" s="3"/>
      <c r="B32" s="3"/>
      <c r="C32" s="3"/>
      <c r="D32" s="3"/>
      <c r="E32" s="22"/>
      <c r="F32" s="3"/>
      <c r="G32" s="3"/>
      <c r="H32" s="3"/>
      <c r="I32" s="26"/>
      <c r="J32" s="3"/>
      <c r="K32" s="26"/>
      <c r="L32" s="3"/>
      <c r="M32" s="27"/>
      <c r="N32" s="15"/>
      <c r="O32" s="27"/>
      <c r="P32" s="38"/>
      <c r="Q32" s="58"/>
      <c r="R32" s="73"/>
      <c r="S32" s="86">
        <f>SUM(S11:S31)</f>
        <v>4726778.951488163</v>
      </c>
      <c r="T32" s="95"/>
      <c r="U32" s="86">
        <f>SUM(U11:U30)</f>
        <v>2205593.311495351</v>
      </c>
      <c r="V32" s="95"/>
      <c r="W32" s="86">
        <f>SUM(W11:W30)</f>
        <v>3333461.856148659</v>
      </c>
      <c r="X32" s="3"/>
    </row>
    <row r="33" spans="1:24" ht="15" thickTop="1">
      <c r="A33" s="3"/>
      <c r="B33" s="3"/>
      <c r="C33" s="90" t="s">
        <v>25</v>
      </c>
      <c r="D33" s="47"/>
      <c r="E33" s="89"/>
      <c r="F33" s="3"/>
      <c r="G33" s="3"/>
      <c r="H33" s="3"/>
      <c r="I33" s="26"/>
      <c r="J33" s="3"/>
      <c r="K33" s="26"/>
      <c r="L33" s="3"/>
      <c r="M33" s="26"/>
      <c r="N33" s="31"/>
      <c r="O33" s="26"/>
      <c r="P33" s="57"/>
      <c r="Q33" s="33"/>
      <c r="R33" s="57"/>
      <c r="S33" s="57"/>
      <c r="T33" s="3"/>
      <c r="U33" s="57"/>
      <c r="V33" s="3"/>
      <c r="W33" s="57"/>
      <c r="X33" s="3"/>
    </row>
    <row r="34" spans="1:24" ht="14.25">
      <c r="A34" s="3"/>
      <c r="B34" s="3"/>
      <c r="C34" s="75" t="s">
        <v>80</v>
      </c>
      <c r="D34" s="4"/>
      <c r="E34" s="23"/>
      <c r="F34" s="3"/>
      <c r="G34" s="3"/>
      <c r="H34" s="3"/>
      <c r="I34" s="26"/>
      <c r="J34" s="3"/>
      <c r="K34" s="26"/>
      <c r="L34" s="3"/>
      <c r="M34" s="26"/>
      <c r="N34" s="31"/>
      <c r="O34" s="26"/>
      <c r="P34" s="57"/>
      <c r="Q34" s="33"/>
      <c r="R34" s="57"/>
      <c r="S34" s="57"/>
      <c r="T34" s="3"/>
      <c r="U34" s="57"/>
      <c r="V34" s="3"/>
      <c r="W34" s="57"/>
      <c r="X34" s="3"/>
    </row>
    <row r="35" spans="1:24" ht="14.25">
      <c r="A35" s="3"/>
      <c r="B35" s="3"/>
      <c r="C35" s="75" t="s">
        <v>159</v>
      </c>
      <c r="D35" s="4"/>
      <c r="E35" s="23"/>
      <c r="F35" s="3"/>
      <c r="G35" s="3"/>
      <c r="H35" s="3"/>
      <c r="I35" s="26"/>
      <c r="J35" s="3"/>
      <c r="K35" s="26"/>
      <c r="L35" s="3"/>
      <c r="M35" s="26"/>
      <c r="N35" s="31"/>
      <c r="O35" s="26"/>
      <c r="P35" s="57"/>
      <c r="Q35" s="33"/>
      <c r="R35" s="57"/>
      <c r="S35" s="57"/>
      <c r="T35" s="3"/>
      <c r="U35" s="57"/>
      <c r="V35" s="3"/>
      <c r="W35" s="57"/>
      <c r="X35" s="3"/>
    </row>
    <row r="36" spans="1:24" ht="14.25">
      <c r="A36" s="3"/>
      <c r="B36" s="3"/>
      <c r="C36" s="75" t="s">
        <v>77</v>
      </c>
      <c r="D36" s="4"/>
      <c r="E36" s="23"/>
      <c r="F36" s="3"/>
      <c r="G36" s="3"/>
      <c r="H36" s="3"/>
      <c r="I36" s="26"/>
      <c r="J36" s="3"/>
      <c r="K36" s="26"/>
      <c r="L36" s="3"/>
      <c r="M36" s="26"/>
      <c r="N36" s="31"/>
      <c r="O36" s="26"/>
      <c r="P36" s="57"/>
      <c r="Q36" s="33"/>
      <c r="R36" s="57"/>
      <c r="S36" s="57"/>
      <c r="T36" s="3"/>
      <c r="U36" s="57"/>
      <c r="V36" s="3"/>
      <c r="W36" s="57"/>
      <c r="X36" s="3"/>
    </row>
    <row r="37" spans="1:24" ht="14.25">
      <c r="A37" s="3"/>
      <c r="B37" s="3"/>
      <c r="C37" s="75" t="s">
        <v>78</v>
      </c>
      <c r="D37" s="4"/>
      <c r="E37" s="23"/>
      <c r="F37" s="3"/>
      <c r="G37" s="3"/>
      <c r="H37" s="3"/>
      <c r="I37" s="26"/>
      <c r="J37" s="3"/>
      <c r="K37" s="26"/>
      <c r="L37" s="3"/>
      <c r="M37" s="26"/>
      <c r="N37" s="31"/>
      <c r="O37" s="26"/>
      <c r="P37" s="57"/>
      <c r="Q37" s="33"/>
      <c r="R37" s="57"/>
      <c r="S37" s="57"/>
      <c r="T37" s="3"/>
      <c r="U37" s="57"/>
      <c r="V37" s="3"/>
      <c r="W37" s="57"/>
      <c r="X37" s="3"/>
    </row>
    <row r="38" spans="1:24" ht="14.25">
      <c r="A38" s="3"/>
      <c r="B38" s="3"/>
      <c r="C38" s="75" t="s">
        <v>85</v>
      </c>
      <c r="D38" s="4"/>
      <c r="E38" s="23"/>
      <c r="F38" s="3"/>
      <c r="G38" s="3"/>
      <c r="H38" s="3"/>
      <c r="I38" s="26"/>
      <c r="J38" s="3"/>
      <c r="K38" s="26"/>
      <c r="L38" s="3"/>
      <c r="M38" s="26"/>
      <c r="N38" s="31"/>
      <c r="O38" s="26"/>
      <c r="P38" s="57"/>
      <c r="Q38" s="33"/>
      <c r="R38" s="57"/>
      <c r="S38" s="57"/>
      <c r="T38" s="3"/>
      <c r="U38" s="57"/>
      <c r="V38" s="3"/>
      <c r="W38" s="57"/>
      <c r="X38" s="3"/>
    </row>
    <row r="39" spans="1:24" ht="14.25">
      <c r="A39" s="3"/>
      <c r="B39" s="3"/>
      <c r="C39" s="75"/>
      <c r="D39" s="121" t="s">
        <v>164</v>
      </c>
      <c r="E39" s="116"/>
      <c r="F39" s="117"/>
      <c r="G39" s="117"/>
      <c r="H39" s="117"/>
      <c r="I39" s="118"/>
      <c r="J39" s="117"/>
      <c r="K39" s="118"/>
      <c r="L39" s="117"/>
      <c r="M39" s="118"/>
      <c r="N39" s="119"/>
      <c r="O39" s="118"/>
      <c r="P39" s="96"/>
      <c r="Q39" s="120"/>
      <c r="R39" s="96"/>
      <c r="S39" s="96"/>
      <c r="T39" s="117"/>
      <c r="U39" s="96"/>
      <c r="V39" s="117"/>
      <c r="W39" s="96"/>
      <c r="X39" s="3"/>
    </row>
    <row r="40" spans="1:24" ht="14.25">
      <c r="A40" s="3"/>
      <c r="B40" s="3"/>
      <c r="C40" s="75" t="s">
        <v>104</v>
      </c>
      <c r="D40" s="121"/>
      <c r="E40" s="116"/>
      <c r="F40" s="117"/>
      <c r="G40" s="117"/>
      <c r="H40" s="117"/>
      <c r="I40" s="118"/>
      <c r="J40" s="117"/>
      <c r="K40" s="118"/>
      <c r="L40" s="117"/>
      <c r="M40" s="118"/>
      <c r="N40" s="119"/>
      <c r="O40" s="118"/>
      <c r="P40" s="96"/>
      <c r="Q40" s="120"/>
      <c r="R40" s="96"/>
      <c r="S40" s="96"/>
      <c r="T40" s="117"/>
      <c r="U40" s="96"/>
      <c r="V40" s="117"/>
      <c r="W40" s="96"/>
      <c r="X40" s="3"/>
    </row>
    <row r="41" spans="1:24" ht="14.25">
      <c r="A41" s="3"/>
      <c r="B41" s="3"/>
      <c r="C41" s="75"/>
      <c r="D41" s="121" t="s">
        <v>105</v>
      </c>
      <c r="E41" s="116"/>
      <c r="F41" s="117"/>
      <c r="G41" s="117"/>
      <c r="H41" s="117"/>
      <c r="I41" s="118"/>
      <c r="J41" s="117"/>
      <c r="K41" s="118"/>
      <c r="L41" s="117"/>
      <c r="M41" s="118"/>
      <c r="N41" s="119"/>
      <c r="O41" s="118"/>
      <c r="P41" s="96"/>
      <c r="Q41" s="120"/>
      <c r="R41" s="96"/>
      <c r="S41" s="96"/>
      <c r="T41" s="117"/>
      <c r="U41" s="96"/>
      <c r="V41" s="117"/>
      <c r="W41" s="96"/>
      <c r="X41" s="3"/>
    </row>
    <row r="42" spans="1:24" ht="14.25">
      <c r="A42" s="3"/>
      <c r="B42" s="3"/>
      <c r="C42" s="75"/>
      <c r="D42" s="121" t="s">
        <v>106</v>
      </c>
      <c r="E42" s="116"/>
      <c r="F42" s="117"/>
      <c r="G42" s="117"/>
      <c r="H42" s="117"/>
      <c r="I42" s="118"/>
      <c r="J42" s="117"/>
      <c r="K42" s="118"/>
      <c r="L42" s="117"/>
      <c r="M42" s="118"/>
      <c r="N42" s="119"/>
      <c r="O42" s="118"/>
      <c r="P42" s="96"/>
      <c r="Q42" s="120"/>
      <c r="R42" s="96"/>
      <c r="S42" s="96"/>
      <c r="T42" s="117"/>
      <c r="U42" s="96"/>
      <c r="V42" s="117"/>
      <c r="W42" s="96"/>
      <c r="X42" s="3"/>
    </row>
    <row r="43" spans="1:24" ht="14.25">
      <c r="A43" s="3"/>
      <c r="B43" s="3"/>
      <c r="C43" s="75"/>
      <c r="D43" s="121" t="s">
        <v>107</v>
      </c>
      <c r="E43" s="116"/>
      <c r="F43" s="117"/>
      <c r="G43" s="117"/>
      <c r="H43" s="117"/>
      <c r="I43" s="118"/>
      <c r="J43" s="117"/>
      <c r="K43" s="118"/>
      <c r="L43" s="117"/>
      <c r="M43" s="118"/>
      <c r="N43" s="119"/>
      <c r="O43" s="118"/>
      <c r="P43" s="96"/>
      <c r="Q43" s="120"/>
      <c r="R43" s="96"/>
      <c r="S43" s="96"/>
      <c r="T43" s="117"/>
      <c r="U43" s="96"/>
      <c r="V43" s="117"/>
      <c r="W43" s="96"/>
      <c r="X43" s="3"/>
    </row>
    <row r="44" spans="1:24" ht="14.25">
      <c r="A44" s="3"/>
      <c r="B44" s="3"/>
      <c r="C44" s="75" t="s">
        <v>8</v>
      </c>
      <c r="D44" s="4"/>
      <c r="E44" s="23"/>
      <c r="F44" s="3"/>
      <c r="G44" s="3"/>
      <c r="H44" s="3"/>
      <c r="I44" s="26"/>
      <c r="J44" s="3"/>
      <c r="K44" s="26"/>
      <c r="L44" s="3"/>
      <c r="M44" s="26"/>
      <c r="N44" s="31"/>
      <c r="O44" s="26"/>
      <c r="P44" s="57"/>
      <c r="Q44" s="33"/>
      <c r="R44" s="57"/>
      <c r="S44" s="57"/>
      <c r="T44" s="3"/>
      <c r="U44" s="57"/>
      <c r="V44" s="3"/>
      <c r="W44" s="57"/>
      <c r="X44" s="3"/>
    </row>
    <row r="45" spans="1:24" ht="14.25">
      <c r="A45" s="3"/>
      <c r="B45" s="3"/>
      <c r="C45" s="75" t="s">
        <v>9</v>
      </c>
      <c r="D45" s="3"/>
      <c r="E45" s="22"/>
      <c r="F45" s="3"/>
      <c r="G45" s="3"/>
      <c r="H45" s="3"/>
      <c r="I45" s="26"/>
      <c r="J45" s="3"/>
      <c r="K45" s="26"/>
      <c r="L45" s="3"/>
      <c r="M45" s="26"/>
      <c r="N45" s="31"/>
      <c r="O45" s="26"/>
      <c r="P45" s="57"/>
      <c r="Q45" s="33"/>
      <c r="R45" s="57"/>
      <c r="S45" s="57"/>
      <c r="T45" s="3"/>
      <c r="U45" s="57"/>
      <c r="V45" s="3"/>
      <c r="W45" s="57"/>
      <c r="X45" s="3"/>
    </row>
    <row r="46" spans="3:23" ht="14.25">
      <c r="C46" s="75" t="s">
        <v>108</v>
      </c>
      <c r="K46" s="25"/>
      <c r="M46" s="25"/>
      <c r="P46" s="37"/>
      <c r="R46" s="37"/>
      <c r="S46" s="37"/>
      <c r="U46" s="37"/>
      <c r="W46" s="37"/>
    </row>
    <row r="47" spans="3:23" ht="14.25">
      <c r="C47" s="11"/>
      <c r="K47" s="25"/>
      <c r="M47" s="25"/>
      <c r="P47" s="37"/>
      <c r="R47" s="37"/>
      <c r="S47" s="37"/>
      <c r="U47" s="37"/>
      <c r="W47" s="37"/>
    </row>
    <row r="48" spans="3:23" ht="14.25">
      <c r="C48" s="11"/>
      <c r="K48" s="25"/>
      <c r="M48" s="25"/>
      <c r="P48" s="37"/>
      <c r="R48" s="37"/>
      <c r="S48" s="37"/>
      <c r="U48" s="37"/>
      <c r="W48" s="37"/>
    </row>
    <row r="49" spans="3:23" ht="14.25">
      <c r="C49" s="11"/>
      <c r="K49" s="25"/>
      <c r="M49" s="25"/>
      <c r="P49" s="37"/>
      <c r="R49" s="37"/>
      <c r="S49" s="37"/>
      <c r="U49" s="37"/>
      <c r="W49" s="37"/>
    </row>
  </sheetData>
  <sheetProtection/>
  <mergeCells count="12">
    <mergeCell ref="U5:U9"/>
    <mergeCell ref="W5:W9"/>
    <mergeCell ref="E6:E9"/>
    <mergeCell ref="G6:G9"/>
    <mergeCell ref="I6:I9"/>
    <mergeCell ref="O6:O9"/>
    <mergeCell ref="A8:A9"/>
    <mergeCell ref="C8:C9"/>
    <mergeCell ref="Q6:Q9"/>
    <mergeCell ref="S4:S9"/>
    <mergeCell ref="K4:K9"/>
    <mergeCell ref="M4:M9"/>
  </mergeCells>
  <printOptions/>
  <pageMargins left="0.45" right="0.45" top="0.75" bottom="0.75" header="0.3" footer="0.3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C9" sqref="C9:C28"/>
    </sheetView>
  </sheetViews>
  <sheetFormatPr defaultColWidth="9.140625" defaultRowHeight="15"/>
  <cols>
    <col min="1" max="1" width="5.140625" style="0" customWidth="1"/>
    <col min="2" max="2" width="2.28125" style="0" customWidth="1"/>
    <col min="4" max="4" width="2.421875" style="0" customWidth="1"/>
    <col min="5" max="5" width="11.7109375" style="0" customWidth="1"/>
    <col min="6" max="6" width="2.8515625" style="0" customWidth="1"/>
    <col min="7" max="7" width="11.00390625" style="0" bestFit="1" customWidth="1"/>
    <col min="8" max="8" width="2.28125" style="0" customWidth="1"/>
    <col min="9" max="9" width="11.57421875" style="37" customWidth="1"/>
    <col min="10" max="10" width="2.00390625" style="0" customWidth="1"/>
    <col min="11" max="11" width="11.00390625" style="14" customWidth="1"/>
    <col min="12" max="12" width="2.57421875" style="0" customWidth="1"/>
    <col min="13" max="13" width="10.8515625" style="37" customWidth="1"/>
    <col min="14" max="14" width="3.00390625" style="0" customWidth="1"/>
    <col min="15" max="15" width="2.7109375" style="0" customWidth="1"/>
    <col min="16" max="16" width="5.00390625" style="0" customWidth="1"/>
    <col min="17" max="17" width="2.57421875" style="0" customWidth="1"/>
    <col min="18" max="18" width="6.00390625" style="0" customWidth="1"/>
    <col min="20" max="20" width="12.00390625" style="37" bestFit="1" customWidth="1"/>
  </cols>
  <sheetData>
    <row r="1" ht="23.25">
      <c r="A1" s="2" t="s">
        <v>0</v>
      </c>
    </row>
    <row r="2" ht="14.25">
      <c r="A2" t="s">
        <v>172</v>
      </c>
    </row>
    <row r="3" spans="1:12" ht="14.25" customHeight="1">
      <c r="A3" s="1" t="s">
        <v>30</v>
      </c>
      <c r="L3" s="102"/>
    </row>
    <row r="4" spans="1:21" s="103" customFormat="1" ht="13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15"/>
      <c r="N4" s="104"/>
      <c r="O4" s="104"/>
      <c r="P4" s="104"/>
      <c r="Q4" s="104"/>
      <c r="R4" s="104"/>
      <c r="S4" s="104"/>
      <c r="T4" s="115"/>
      <c r="U4" s="104"/>
    </row>
    <row r="5" spans="1:13" ht="14.25">
      <c r="A5" s="4"/>
      <c r="B5" s="4"/>
      <c r="C5" s="4"/>
      <c r="D5" s="4"/>
      <c r="E5" s="105"/>
      <c r="F5" s="17"/>
      <c r="G5" s="106"/>
      <c r="H5" s="17"/>
      <c r="I5" s="53"/>
      <c r="J5" s="19"/>
      <c r="K5" s="100"/>
      <c r="L5" s="5"/>
      <c r="M5" s="53"/>
    </row>
    <row r="6" spans="2:13" ht="15" customHeight="1">
      <c r="B6" s="4"/>
      <c r="D6" s="4"/>
      <c r="E6" s="105"/>
      <c r="F6" s="17"/>
      <c r="G6" s="106"/>
      <c r="H6" s="17"/>
      <c r="I6" s="53"/>
      <c r="J6" s="19"/>
      <c r="K6" s="100"/>
      <c r="L6" s="5"/>
      <c r="M6" s="53"/>
    </row>
    <row r="7" spans="1:13" ht="76.5" customHeight="1" thickBot="1">
      <c r="A7" s="8" t="s">
        <v>12</v>
      </c>
      <c r="B7" s="83"/>
      <c r="C7" s="8" t="s">
        <v>3</v>
      </c>
      <c r="D7" s="83"/>
      <c r="E7" s="24" t="s">
        <v>31</v>
      </c>
      <c r="F7" s="18"/>
      <c r="G7" s="18" t="s">
        <v>32</v>
      </c>
      <c r="H7" s="18"/>
      <c r="I7" s="40" t="s">
        <v>33</v>
      </c>
      <c r="J7" s="20"/>
      <c r="K7" s="20" t="s">
        <v>34</v>
      </c>
      <c r="L7" s="9"/>
      <c r="M7" s="40" t="s">
        <v>35</v>
      </c>
    </row>
    <row r="8" spans="1:13" ht="14.25">
      <c r="A8" s="55"/>
      <c r="B8" s="55"/>
      <c r="C8" s="55"/>
      <c r="D8" s="55"/>
      <c r="E8" s="55"/>
      <c r="F8" s="55"/>
      <c r="G8" s="55"/>
      <c r="H8" s="55"/>
      <c r="I8" s="41"/>
      <c r="J8" s="55"/>
      <c r="K8" s="66"/>
      <c r="L8" s="55"/>
      <c r="M8" s="41"/>
    </row>
    <row r="9" spans="1:14" ht="14.25">
      <c r="A9" s="55">
        <v>1</v>
      </c>
      <c r="B9" s="55"/>
      <c r="C9" s="55">
        <v>2018</v>
      </c>
      <c r="D9" s="55"/>
      <c r="E9" s="56">
        <f>SUM(96*80*1200)</f>
        <v>9216000</v>
      </c>
      <c r="F9" s="55"/>
      <c r="G9" s="55">
        <f>SUM(E9/1000000*0.63)</f>
        <v>5.80608</v>
      </c>
      <c r="H9" s="55"/>
      <c r="I9" s="41">
        <f>SUM(G9*91112)</f>
        <v>529003.5609599999</v>
      </c>
      <c r="J9" s="55"/>
      <c r="K9" s="66">
        <f>SUM(I9/(1.07)^1)</f>
        <v>494395.85136448586</v>
      </c>
      <c r="L9" s="55"/>
      <c r="M9" s="41">
        <f>SUM(I9/(1.03)^A9)</f>
        <v>513595.69025242707</v>
      </c>
      <c r="N9" s="55"/>
    </row>
    <row r="10" spans="1:14" ht="14.25">
      <c r="A10" s="55">
        <v>2</v>
      </c>
      <c r="B10" s="55"/>
      <c r="C10" s="55">
        <v>2019</v>
      </c>
      <c r="D10" s="55"/>
      <c r="E10" s="56">
        <f>SUM(96*80*1200)</f>
        <v>9216000</v>
      </c>
      <c r="F10" s="55"/>
      <c r="G10" s="55">
        <f aca="true" t="shared" si="0" ref="G10:G28">SUM(E10/1000000*0.63)</f>
        <v>5.80608</v>
      </c>
      <c r="H10" s="55"/>
      <c r="I10" s="41">
        <f aca="true" t="shared" si="1" ref="I10:I28">SUM(G10*91112)</f>
        <v>529003.5609599999</v>
      </c>
      <c r="J10" s="55"/>
      <c r="K10" s="66">
        <f>SUM(I10/(1.07)^2)</f>
        <v>462052.1975369027</v>
      </c>
      <c r="L10" s="55"/>
      <c r="M10" s="41">
        <f>SUM(I10/(1.03)^A10)</f>
        <v>498636.5924780846</v>
      </c>
      <c r="N10" s="55"/>
    </row>
    <row r="11" spans="1:14" ht="14.25">
      <c r="A11" s="55">
        <v>3</v>
      </c>
      <c r="B11" s="55"/>
      <c r="C11" s="55">
        <v>2020</v>
      </c>
      <c r="D11" s="55"/>
      <c r="E11" s="56">
        <f>SUM(96*80*1200)</f>
        <v>9216000</v>
      </c>
      <c r="F11" s="55"/>
      <c r="G11" s="55">
        <f t="shared" si="0"/>
        <v>5.80608</v>
      </c>
      <c r="H11" s="55"/>
      <c r="I11" s="41">
        <f t="shared" si="1"/>
        <v>529003.5609599999</v>
      </c>
      <c r="J11" s="55"/>
      <c r="K11" s="66">
        <f>SUM(I11/(1.07)^3)</f>
        <v>431824.4836793483</v>
      </c>
      <c r="L11" s="55"/>
      <c r="M11" s="41">
        <f aca="true" t="shared" si="2" ref="M11:M28">SUM(I11/(1.03)^A11)</f>
        <v>484113.1965806646</v>
      </c>
      <c r="N11" s="55"/>
    </row>
    <row r="12" spans="1:14" ht="14.25">
      <c r="A12" s="55">
        <v>4</v>
      </c>
      <c r="B12" s="55"/>
      <c r="C12" s="55">
        <v>2021</v>
      </c>
      <c r="D12" s="55"/>
      <c r="E12" s="56">
        <f>SUM(96*80*1200)</f>
        <v>9216000</v>
      </c>
      <c r="F12" s="55"/>
      <c r="G12" s="55">
        <f t="shared" si="0"/>
        <v>5.80608</v>
      </c>
      <c r="H12" s="55"/>
      <c r="I12" s="41">
        <f t="shared" si="1"/>
        <v>529003.5609599999</v>
      </c>
      <c r="J12" s="55"/>
      <c r="K12" s="66">
        <f>SUM(I12/(1.07)^4)</f>
        <v>403574.28381247504</v>
      </c>
      <c r="L12" s="55"/>
      <c r="M12" s="41">
        <f t="shared" si="2"/>
        <v>470012.8122142375</v>
      </c>
      <c r="N12" s="55"/>
    </row>
    <row r="13" spans="1:14" ht="14.25">
      <c r="A13" s="55">
        <v>5</v>
      </c>
      <c r="B13" s="55"/>
      <c r="C13" s="55">
        <v>2022</v>
      </c>
      <c r="D13" s="55"/>
      <c r="E13" s="56">
        <f>SUM(192*80*1200)</f>
        <v>18432000</v>
      </c>
      <c r="F13" s="55"/>
      <c r="G13" s="55">
        <f t="shared" si="0"/>
        <v>11.61216</v>
      </c>
      <c r="H13" s="55"/>
      <c r="I13" s="41">
        <f t="shared" si="1"/>
        <v>1058007.1219199998</v>
      </c>
      <c r="J13" s="55"/>
      <c r="K13" s="66">
        <f>SUM(I13/(1.07)^A13)</f>
        <v>754344.4557242524</v>
      </c>
      <c r="L13" s="55"/>
      <c r="M13" s="41">
        <f t="shared" si="2"/>
        <v>912646.2373091992</v>
      </c>
      <c r="N13" s="55"/>
    </row>
    <row r="14" spans="1:14" ht="14.25">
      <c r="A14" s="55">
        <v>6</v>
      </c>
      <c r="B14" s="55"/>
      <c r="C14" s="55">
        <v>2023</v>
      </c>
      <c r="D14" s="55"/>
      <c r="E14" s="56">
        <f>SUM(192*80*1200)</f>
        <v>18432000</v>
      </c>
      <c r="F14" s="55"/>
      <c r="G14" s="55">
        <f t="shared" si="0"/>
        <v>11.61216</v>
      </c>
      <c r="H14" s="55"/>
      <c r="I14" s="41">
        <f t="shared" si="1"/>
        <v>1058007.1219199998</v>
      </c>
      <c r="J14" s="55"/>
      <c r="K14" s="66">
        <f>SUM(I14/(1.07)^A14)</f>
        <v>704994.8184338808</v>
      </c>
      <c r="L14" s="55"/>
      <c r="M14" s="41">
        <f t="shared" si="2"/>
        <v>886064.3080671836</v>
      </c>
      <c r="N14" s="55"/>
    </row>
    <row r="15" spans="1:14" ht="14.25">
      <c r="A15" s="55">
        <v>7</v>
      </c>
      <c r="B15" s="55"/>
      <c r="C15" s="55">
        <v>2024</v>
      </c>
      <c r="D15" s="55"/>
      <c r="E15" s="56">
        <f>SUM(192*80*1200)</f>
        <v>18432000</v>
      </c>
      <c r="F15" s="55"/>
      <c r="G15" s="55">
        <f t="shared" si="0"/>
        <v>11.61216</v>
      </c>
      <c r="H15" s="55"/>
      <c r="I15" s="41">
        <f t="shared" si="1"/>
        <v>1058007.1219199998</v>
      </c>
      <c r="J15" s="55"/>
      <c r="K15" s="66">
        <f>SUM(I15/(1.07)^A15)</f>
        <v>658873.662087739</v>
      </c>
      <c r="L15" s="55"/>
      <c r="M15" s="41">
        <f t="shared" si="2"/>
        <v>860256.6097739646</v>
      </c>
      <c r="N15" s="55"/>
    </row>
    <row r="16" spans="1:14" ht="14.25">
      <c r="A16" s="55">
        <v>8</v>
      </c>
      <c r="B16" s="55"/>
      <c r="C16" s="55">
        <v>2025</v>
      </c>
      <c r="D16" s="55"/>
      <c r="E16" s="56">
        <f>SUM(200*80*1200)</f>
        <v>19200000</v>
      </c>
      <c r="F16" s="55"/>
      <c r="G16" s="55">
        <f>SUM(E16/1000000*0.63)</f>
        <v>12.096</v>
      </c>
      <c r="H16" s="55"/>
      <c r="I16" s="41">
        <f t="shared" si="1"/>
        <v>1102090.752</v>
      </c>
      <c r="J16" s="55"/>
      <c r="K16" s="66">
        <f aca="true" t="shared" si="3" ref="K16:K28">SUM(I16/(1.07)^A16)</f>
        <v>641426.8517209298</v>
      </c>
      <c r="L16" s="55"/>
      <c r="M16" s="41">
        <f t="shared" si="2"/>
        <v>870000.6166807897</v>
      </c>
      <c r="N16" s="55"/>
    </row>
    <row r="17" spans="1:14" ht="14.25">
      <c r="A17" s="55">
        <v>9</v>
      </c>
      <c r="B17" s="55"/>
      <c r="C17" s="55">
        <v>2026</v>
      </c>
      <c r="D17" s="55"/>
      <c r="E17" s="56">
        <f>SUM(200*80*1200)</f>
        <v>19200000</v>
      </c>
      <c r="F17" s="55"/>
      <c r="G17" s="55">
        <f t="shared" si="0"/>
        <v>12.096</v>
      </c>
      <c r="H17" s="55"/>
      <c r="I17" s="41">
        <f t="shared" si="1"/>
        <v>1102090.752</v>
      </c>
      <c r="J17" s="55"/>
      <c r="K17" s="66">
        <f t="shared" si="3"/>
        <v>599464.3474027382</v>
      </c>
      <c r="L17" s="55"/>
      <c r="M17" s="41">
        <f t="shared" si="2"/>
        <v>844660.7928939706</v>
      </c>
      <c r="N17" s="55"/>
    </row>
    <row r="18" spans="1:14" ht="14.25">
      <c r="A18" s="55">
        <v>10</v>
      </c>
      <c r="B18" s="55"/>
      <c r="C18" s="55">
        <v>2027</v>
      </c>
      <c r="D18" s="55"/>
      <c r="E18" s="56">
        <f>SUM(208*80*1200)</f>
        <v>19968000</v>
      </c>
      <c r="F18" s="55"/>
      <c r="G18" s="55">
        <f t="shared" si="0"/>
        <v>12.57984</v>
      </c>
      <c r="H18" s="55"/>
      <c r="I18" s="41">
        <f t="shared" si="1"/>
        <v>1146174.3820800001</v>
      </c>
      <c r="J18" s="55"/>
      <c r="K18" s="66">
        <f t="shared" si="3"/>
        <v>582656.9357933156</v>
      </c>
      <c r="L18" s="55"/>
      <c r="M18" s="41">
        <f t="shared" si="2"/>
        <v>852861.3831162422</v>
      </c>
      <c r="N18" s="55"/>
    </row>
    <row r="19" spans="1:14" ht="14.25">
      <c r="A19" s="55">
        <v>11</v>
      </c>
      <c r="B19" s="55"/>
      <c r="C19" s="55">
        <v>2028</v>
      </c>
      <c r="D19" s="55"/>
      <c r="E19" s="56">
        <f>SUM(216*80*1200)</f>
        <v>20736000</v>
      </c>
      <c r="F19" s="55"/>
      <c r="G19" s="55">
        <f t="shared" si="0"/>
        <v>13.06368</v>
      </c>
      <c r="H19" s="55"/>
      <c r="I19" s="41">
        <f t="shared" si="1"/>
        <v>1190258.01216</v>
      </c>
      <c r="J19" s="55"/>
      <c r="K19" s="66">
        <f t="shared" si="3"/>
        <v>565483.0074198245</v>
      </c>
      <c r="L19" s="55"/>
      <c r="M19" s="41">
        <f t="shared" si="2"/>
        <v>859867.7126265323</v>
      </c>
      <c r="N19" s="55"/>
    </row>
    <row r="20" spans="1:14" ht="14.25">
      <c r="A20" s="55">
        <v>12</v>
      </c>
      <c r="B20" s="55"/>
      <c r="C20" s="55">
        <v>2029</v>
      </c>
      <c r="D20" s="55"/>
      <c r="E20" s="56">
        <f>SUM(216*80*1200)</f>
        <v>20736000</v>
      </c>
      <c r="F20" s="55"/>
      <c r="G20" s="55">
        <f t="shared" si="0"/>
        <v>13.06368</v>
      </c>
      <c r="H20" s="55"/>
      <c r="I20" s="41">
        <f t="shared" si="1"/>
        <v>1190258.01216</v>
      </c>
      <c r="J20" s="55"/>
      <c r="K20" s="66">
        <f>SUM(I20/(1.07)^A20)</f>
        <v>528488.7919811445</v>
      </c>
      <c r="L20" s="55"/>
      <c r="M20" s="41">
        <f t="shared" si="2"/>
        <v>834823.0219675072</v>
      </c>
      <c r="N20" s="55"/>
    </row>
    <row r="21" spans="1:14" ht="14.25">
      <c r="A21" s="55">
        <v>13</v>
      </c>
      <c r="B21" s="55"/>
      <c r="C21" s="55">
        <v>2030</v>
      </c>
      <c r="D21" s="55"/>
      <c r="E21" s="56">
        <f>SUM(216*80*1200)</f>
        <v>20736000</v>
      </c>
      <c r="F21" s="55"/>
      <c r="G21" s="55">
        <f t="shared" si="0"/>
        <v>13.06368</v>
      </c>
      <c r="H21" s="55"/>
      <c r="I21" s="41">
        <f t="shared" si="1"/>
        <v>1190258.01216</v>
      </c>
      <c r="J21" s="55"/>
      <c r="K21" s="66">
        <f t="shared" si="3"/>
        <v>493914.75886088266</v>
      </c>
      <c r="L21" s="55"/>
      <c r="M21" s="41">
        <f t="shared" si="2"/>
        <v>810507.7883179681</v>
      </c>
      <c r="N21" s="55"/>
    </row>
    <row r="22" spans="1:14" ht="14.25">
      <c r="A22" s="55">
        <v>14</v>
      </c>
      <c r="B22" s="55"/>
      <c r="C22" s="55">
        <v>2031</v>
      </c>
      <c r="D22" s="55"/>
      <c r="E22" s="56">
        <f>SUM(216*80*1200)</f>
        <v>20736000</v>
      </c>
      <c r="F22" s="55"/>
      <c r="G22" s="55">
        <f t="shared" si="0"/>
        <v>13.06368</v>
      </c>
      <c r="H22" s="55"/>
      <c r="I22" s="41">
        <f t="shared" si="1"/>
        <v>1190258.01216</v>
      </c>
      <c r="J22" s="55"/>
      <c r="K22" s="66">
        <f t="shared" si="3"/>
        <v>461602.57837465673</v>
      </c>
      <c r="L22" s="55"/>
      <c r="M22" s="41">
        <f t="shared" si="2"/>
        <v>786900.7653572506</v>
      </c>
      <c r="N22" s="55"/>
    </row>
    <row r="23" spans="1:14" ht="14.25">
      <c r="A23" s="55">
        <v>15</v>
      </c>
      <c r="B23" s="55"/>
      <c r="C23" s="55">
        <v>2032</v>
      </c>
      <c r="D23" s="55"/>
      <c r="E23" s="56">
        <f>SUM(224*80*1200)</f>
        <v>21504000</v>
      </c>
      <c r="F23" s="55"/>
      <c r="G23" s="55">
        <f t="shared" si="0"/>
        <v>13.54752</v>
      </c>
      <c r="H23" s="55"/>
      <c r="I23" s="41">
        <f t="shared" si="1"/>
        <v>1234341.64224</v>
      </c>
      <c r="J23" s="55"/>
      <c r="K23" s="66">
        <f t="shared" si="3"/>
        <v>447382.2151087015</v>
      </c>
      <c r="L23" s="55"/>
      <c r="M23" s="41">
        <f t="shared" si="2"/>
        <v>792276.930241029</v>
      </c>
      <c r="N23" s="55"/>
    </row>
    <row r="24" spans="1:14" ht="14.25">
      <c r="A24" s="55">
        <v>16</v>
      </c>
      <c r="B24" s="55"/>
      <c r="C24" s="55">
        <v>2033</v>
      </c>
      <c r="D24" s="55"/>
      <c r="E24" s="56">
        <f>SUM(224*80*1200)</f>
        <v>21504000</v>
      </c>
      <c r="F24" s="55"/>
      <c r="G24" s="55">
        <f t="shared" si="0"/>
        <v>13.54752</v>
      </c>
      <c r="H24" s="55"/>
      <c r="I24" s="41">
        <f t="shared" si="1"/>
        <v>1234341.64224</v>
      </c>
      <c r="J24" s="55"/>
      <c r="K24" s="66">
        <f t="shared" si="3"/>
        <v>418114.2197277585</v>
      </c>
      <c r="L24" s="55"/>
      <c r="M24" s="41">
        <f t="shared" si="2"/>
        <v>769200.9031466302</v>
      </c>
      <c r="N24" s="55"/>
    </row>
    <row r="25" spans="1:14" ht="14.25">
      <c r="A25" s="55">
        <v>17</v>
      </c>
      <c r="B25" s="55"/>
      <c r="C25" s="55">
        <v>2034</v>
      </c>
      <c r="D25" s="55"/>
      <c r="E25" s="56">
        <f>SUM(224*80*1200)</f>
        <v>21504000</v>
      </c>
      <c r="F25" s="55"/>
      <c r="G25" s="55">
        <f t="shared" si="0"/>
        <v>13.54752</v>
      </c>
      <c r="H25" s="55"/>
      <c r="I25" s="41">
        <f t="shared" si="1"/>
        <v>1234341.64224</v>
      </c>
      <c r="J25" s="55"/>
      <c r="K25" s="66">
        <f t="shared" si="3"/>
        <v>390760.95301659673</v>
      </c>
      <c r="L25" s="55"/>
      <c r="M25" s="41">
        <f t="shared" si="2"/>
        <v>746796.9933462429</v>
      </c>
      <c r="N25" s="55"/>
    </row>
    <row r="26" spans="1:14" ht="14.25">
      <c r="A26" s="55">
        <v>18</v>
      </c>
      <c r="B26" s="55"/>
      <c r="C26" s="55">
        <v>2035</v>
      </c>
      <c r="D26" s="55"/>
      <c r="E26" s="56">
        <f>SUM(231*80*1200)</f>
        <v>22176000</v>
      </c>
      <c r="F26" s="55"/>
      <c r="G26" s="55">
        <f t="shared" si="0"/>
        <v>13.97088</v>
      </c>
      <c r="H26" s="55"/>
      <c r="I26" s="41">
        <f t="shared" si="1"/>
        <v>1272914.81856</v>
      </c>
      <c r="J26" s="55"/>
      <c r="K26" s="66">
        <f t="shared" si="3"/>
        <v>376609.5633629583</v>
      </c>
      <c r="L26" s="55"/>
      <c r="M26" s="41">
        <f t="shared" si="2"/>
        <v>747703.3003770029</v>
      </c>
      <c r="N26" s="55"/>
    </row>
    <row r="27" spans="1:14" ht="14.25">
      <c r="A27" s="55">
        <v>19</v>
      </c>
      <c r="B27" s="55"/>
      <c r="C27" s="55">
        <v>2036</v>
      </c>
      <c r="D27" s="55"/>
      <c r="E27" s="56">
        <f>SUM(231*80*1200)</f>
        <v>22176000</v>
      </c>
      <c r="F27" s="55"/>
      <c r="G27" s="55">
        <f t="shared" si="0"/>
        <v>13.97088</v>
      </c>
      <c r="H27" s="55"/>
      <c r="I27" s="41">
        <f t="shared" si="1"/>
        <v>1272914.81856</v>
      </c>
      <c r="J27" s="55"/>
      <c r="K27" s="66">
        <f t="shared" si="3"/>
        <v>351971.5545448208</v>
      </c>
      <c r="L27" s="55"/>
      <c r="M27" s="41">
        <f t="shared" si="2"/>
        <v>725925.5343466048</v>
      </c>
      <c r="N27" s="55"/>
    </row>
    <row r="28" spans="1:14" ht="14.25">
      <c r="A28" s="55">
        <v>20</v>
      </c>
      <c r="B28" s="55"/>
      <c r="C28" s="55">
        <v>2037</v>
      </c>
      <c r="D28" s="55"/>
      <c r="E28" s="64">
        <f>SUM(231*80*1200)</f>
        <v>22176000</v>
      </c>
      <c r="F28" s="61"/>
      <c r="G28" s="61">
        <f t="shared" si="0"/>
        <v>13.97088</v>
      </c>
      <c r="H28" s="61"/>
      <c r="I28" s="42">
        <f t="shared" si="1"/>
        <v>1272914.81856</v>
      </c>
      <c r="J28" s="61"/>
      <c r="K28" s="67">
        <f t="shared" si="3"/>
        <v>328945.3780792718</v>
      </c>
      <c r="L28" s="61"/>
      <c r="M28" s="42">
        <f t="shared" si="2"/>
        <v>704782.0721811698</v>
      </c>
      <c r="N28" s="55"/>
    </row>
    <row r="29" spans="1:14" ht="14.25">
      <c r="A29" s="55"/>
      <c r="B29" s="55"/>
      <c r="C29" s="55"/>
      <c r="D29" s="55"/>
      <c r="E29" s="55"/>
      <c r="F29" s="55"/>
      <c r="G29" s="55"/>
      <c r="H29" s="55"/>
      <c r="I29" s="41"/>
      <c r="J29" s="55"/>
      <c r="K29" s="66"/>
      <c r="L29" s="55"/>
      <c r="M29" s="41"/>
      <c r="N29" s="55"/>
    </row>
    <row r="30" spans="1:14" ht="15" thickBot="1">
      <c r="A30" s="55"/>
      <c r="B30" s="55"/>
      <c r="C30" s="55"/>
      <c r="D30" s="55"/>
      <c r="E30" s="55"/>
      <c r="F30" s="55"/>
      <c r="G30" s="55"/>
      <c r="H30" s="68"/>
      <c r="I30" s="69">
        <f>SUM(I9:I28)</f>
        <v>20923192.926719997</v>
      </c>
      <c r="J30" s="69"/>
      <c r="K30" s="69">
        <f>SUM(K9:K28)</f>
        <v>10096880.908032684</v>
      </c>
      <c r="L30" s="69"/>
      <c r="M30" s="69">
        <f>SUM(M9:M28)</f>
        <v>14971633.261274701</v>
      </c>
      <c r="N30" s="68"/>
    </row>
    <row r="31" ht="15" thickTop="1"/>
    <row r="33" ht="14.25">
      <c r="B33" s="43" t="s">
        <v>25</v>
      </c>
    </row>
    <row r="34" spans="2:14" ht="14.25">
      <c r="B34" s="75" t="s">
        <v>36</v>
      </c>
      <c r="C34" s="3"/>
      <c r="D34" s="3"/>
      <c r="E34" s="3"/>
      <c r="F34" s="3"/>
      <c r="G34" s="3"/>
      <c r="H34" s="3"/>
      <c r="I34" s="57"/>
      <c r="J34" s="3"/>
      <c r="K34" s="13"/>
      <c r="L34" s="3"/>
      <c r="M34" s="57"/>
      <c r="N34" s="3"/>
    </row>
    <row r="35" spans="2:14" ht="36.75" customHeight="1">
      <c r="B35" s="3"/>
      <c r="C35" s="182" t="s">
        <v>37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</row>
    <row r="36" spans="2:14" ht="12.75" customHeight="1">
      <c r="B36" s="163" t="s">
        <v>124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</row>
    <row r="37" spans="2:14" ht="13.5" customHeight="1">
      <c r="B37" s="163" t="s">
        <v>158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</row>
    <row r="38" spans="2:14" ht="14.25">
      <c r="B38" s="75" t="s">
        <v>9</v>
      </c>
      <c r="C38" s="3"/>
      <c r="D38" s="3"/>
      <c r="E38" s="3"/>
      <c r="F38" s="3"/>
      <c r="G38" s="3"/>
      <c r="H38" s="3"/>
      <c r="I38" s="57"/>
      <c r="J38" s="3"/>
      <c r="K38" s="13"/>
      <c r="L38" s="3"/>
      <c r="M38" s="57"/>
      <c r="N38" s="3"/>
    </row>
    <row r="39" spans="2:14" ht="16.5" customHeight="1">
      <c r="B39" s="163" t="s">
        <v>38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</row>
  </sheetData>
  <sheetProtection/>
  <mergeCells count="4">
    <mergeCell ref="B36:N36"/>
    <mergeCell ref="B37:N37"/>
    <mergeCell ref="C35:N35"/>
    <mergeCell ref="B39:N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Admin</cp:lastModifiedBy>
  <cp:lastPrinted>2016-04-29T04:37:10Z</cp:lastPrinted>
  <dcterms:created xsi:type="dcterms:W3CDTF">2014-04-28T06:35:22Z</dcterms:created>
  <dcterms:modified xsi:type="dcterms:W3CDTF">2017-10-19T21:09:38Z</dcterms:modified>
  <cp:category/>
  <cp:version/>
  <cp:contentType/>
  <cp:contentStatus/>
</cp:coreProperties>
</file>